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ffinitywaterltd-my.sharepoint.com/personal/martin_hall_affinitywater_co_uk/Documents/31 Aug 2019 Submission/"/>
    </mc:Choice>
  </mc:AlternateContent>
  <bookViews>
    <workbookView xWindow="225" yWindow="1680" windowWidth="17340" windowHeight="10365" activeTab="2"/>
  </bookViews>
  <sheets>
    <sheet name="Change Log" sheetId="13" r:id="rId1"/>
    <sheet name="Inputs &gt;" sheetId="8" r:id="rId2"/>
    <sheet name="Data" sheetId="1" r:id="rId3"/>
    <sheet name="RPI" sheetId="12" r:id="rId4"/>
    <sheet name="Calcs &gt;" sheetId="9" r:id="rId5"/>
    <sheet name="WRFIM - Water" sheetId="5" r:id="rId6"/>
    <sheet name="WRFIM - Waste" sheetId="6" r:id="rId7"/>
    <sheet name="Output &gt;" sheetId="10" r:id="rId8"/>
    <sheet name="WFRIM adjustments" sheetId="7" r:id="rId9"/>
    <sheet name="Other &gt;" sheetId="11" r:id="rId10"/>
    <sheet name="Timeline" sheetId="3" r:id="rId11"/>
  </sheets>
  <definedNames>
    <definedName name="Additional.Analysis">Data!$G$22</definedName>
    <definedName name="Adj.AllRev.Waste">'WRFIM - Waste'!$I$38:$U$38</definedName>
    <definedName name="Adj.AllRev.Water">'WRFIM - Water'!$I$38:$U$38</definedName>
    <definedName name="AllRev.Outturn.Waste">'WRFIM - Waste'!$I$15:$U$15</definedName>
    <definedName name="AllRev.Outturn.Water">'WRFIM - Water'!$I$15:$U$15</definedName>
    <definedName name="AllRev.Waste">Data!$I$28:$U$28</definedName>
    <definedName name="AllRev.Water">Data!$I$27:$U$27</definedName>
    <definedName name="AMP.Years">Timeline!$I$3:$U$3</definedName>
    <definedName name="AMP5.RCM.Adj.Waste">'WRFIM - Waste'!$K$19</definedName>
    <definedName name="AMP5.RCM.Adj.Water">'WRFIM - Water'!$K$19</definedName>
    <definedName name="AMP6.FI.Adj.Waste">'WRFIM - Waste'!$I$32:$U$32</definedName>
    <definedName name="AMP6.FI.Adj.Water">'WRFIM - Water'!$I$32:$U$32</definedName>
    <definedName name="Baseline.AllRev.Waste">'WRFIM - Waste'!$I$39:$U$39</definedName>
    <definedName name="Baseline.AllRev.Water">'WRFIM - Water'!$I$39:$U$39</definedName>
    <definedName name="BlindYear.1415.Adj.Waste">Data!$K$43</definedName>
    <definedName name="BlindYear.1415.Adj.Water">Data!$K$42</definedName>
    <definedName name="BlindYear.Delay">Data!#REF!</definedName>
    <definedName name="Calendar.Years">Timeline!$I$5:$U$5</definedName>
    <definedName name="Discount.Rate">Data!$G$20</definedName>
    <definedName name="Indexation.Average">RPI!$I$56:$U$56</definedName>
    <definedName name="Indexation.Average.Override">RPI!$I$55:$U$55</definedName>
    <definedName name="Indexation.Check">RPI!$I$26:$U$26</definedName>
    <definedName name="Indexation.November">RPI!$I$45:$U$45</definedName>
    <definedName name="Indexation.November.Actual">RPI!$I$49:$U$49</definedName>
    <definedName name="Indexation.November.Actual.Override">RPI!$I$48:$U$48</definedName>
    <definedName name="Indexation.November.Actual.YearOnYear">RPI!$I$51:$U$51</definedName>
    <definedName name="Indexation.November.Override">RPI!$I$44:$U$44</definedName>
    <definedName name="Inflation.Yearly.Average">RPI!$I$58:$U$58</definedName>
    <definedName name="K.Waste">Data!$I$32:$U$32</definedName>
    <definedName name="K.Water">Data!$I$31:$U$31</definedName>
    <definedName name="Penalty.Rate.General">Data!$G$19</definedName>
    <definedName name="Penalty.Rate.Waste">'WRFIM - Waste'!#REF!</definedName>
    <definedName name="Penalty.Rate.Water">'WRFIM - Water'!#REF!</definedName>
    <definedName name="Perc.Recovered.Waste">'WRFIM - Waste'!$I$44:$U$44</definedName>
    <definedName name="Perc.Recovered.Water">'WRFIM - Water'!$I$44:$U$44</definedName>
    <definedName name="_xlnm.Print_Area" localSheetId="2">Data!$A$1:$W$56</definedName>
    <definedName name="_xlnm.Print_Area" localSheetId="3">RPI!$A$1:$V$58</definedName>
    <definedName name="RCM.BlindYear.Adj.Waste">'WRFIM - Waste'!$I$23:$U$23</definedName>
    <definedName name="RCM.BlindYear.Adj.Water">'WRFIM - Water'!$I$23:$U$23</definedName>
    <definedName name="RecRev.Waste">Data!$I$37:$U$37</definedName>
    <definedName name="RecRev.Water">Data!$I$36:$U$36</definedName>
    <definedName name="Threshold.Max">Data!$G$17</definedName>
    <definedName name="Threshold.Min">Data!$G$16</definedName>
    <definedName name="WRFIM.Waste">'WRFIM - Waste'!$P$84</definedName>
    <definedName name="WRFIM.Water">'WRFIM - Water'!$P$84</definedName>
  </definedNames>
  <calcPr calcId="171027"/>
</workbook>
</file>

<file path=xl/calcChain.xml><?xml version="1.0" encoding="utf-8"?>
<calcChain xmlns="http://schemas.openxmlformats.org/spreadsheetml/2006/main">
  <c r="R70" i="1" l="1"/>
  <c r="P73" i="1"/>
  <c r="P70" i="1" l="1"/>
  <c r="O70" i="1"/>
  <c r="L70" i="1"/>
  <c r="M70" i="1"/>
  <c r="N70" i="1"/>
  <c r="P71" i="1" l="1"/>
  <c r="O71" i="1"/>
  <c r="N71" i="1"/>
  <c r="M71" i="1"/>
  <c r="L71" i="1"/>
  <c r="N74" i="1" l="1"/>
  <c r="N36" i="1" s="1"/>
  <c r="O74" i="1"/>
  <c r="O36" i="1" s="1"/>
  <c r="P74" i="1"/>
  <c r="P36" i="1" s="1"/>
  <c r="O73" i="1"/>
  <c r="N73" i="1"/>
  <c r="L73" i="1"/>
  <c r="L74" i="1" s="1"/>
  <c r="L36" i="1" s="1"/>
  <c r="M73" i="1"/>
  <c r="M74" i="1" s="1"/>
  <c r="M36" i="1" s="1"/>
  <c r="E82" i="6" l="1"/>
  <c r="E82" i="5"/>
  <c r="E36" i="5" l="1"/>
  <c r="E34" i="5"/>
  <c r="P36" i="5" l="1"/>
  <c r="O34" i="5"/>
  <c r="P36" i="6"/>
  <c r="O34" i="6"/>
  <c r="E36" i="6"/>
  <c r="E34" i="6"/>
  <c r="H33" i="6" l="1"/>
  <c r="G33" i="6"/>
  <c r="E33" i="6"/>
  <c r="D33" i="6"/>
  <c r="H33" i="5"/>
  <c r="G33" i="5"/>
  <c r="D33" i="5"/>
  <c r="E33" i="5"/>
  <c r="Q44" i="1"/>
  <c r="E21" i="6"/>
  <c r="N21" i="6"/>
  <c r="E21" i="5"/>
  <c r="P21" i="5"/>
  <c r="O21" i="5"/>
  <c r="N21" i="5"/>
  <c r="P21" i="6"/>
  <c r="O21" i="6"/>
  <c r="Q45" i="1"/>
  <c r="K15" i="6"/>
  <c r="K15" i="5"/>
  <c r="L12" i="5"/>
  <c r="L12" i="6"/>
  <c r="P12" i="6"/>
  <c r="O12" i="6"/>
  <c r="N12" i="6"/>
  <c r="M12" i="6"/>
  <c r="P12" i="5"/>
  <c r="O12" i="5"/>
  <c r="N12" i="5"/>
  <c r="M12" i="5"/>
  <c r="M32" i="5"/>
  <c r="L32" i="5"/>
  <c r="M32" i="6"/>
  <c r="L32" i="6"/>
  <c r="P41" i="6"/>
  <c r="O41" i="6"/>
  <c r="N41" i="6"/>
  <c r="M41" i="6"/>
  <c r="L41" i="6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I29" i="12"/>
  <c r="J29" i="12"/>
  <c r="K29" i="12"/>
  <c r="L29" i="12"/>
  <c r="M29" i="12"/>
  <c r="I30" i="12"/>
  <c r="J30" i="12"/>
  <c r="K30" i="12"/>
  <c r="L30" i="12"/>
  <c r="M30" i="12"/>
  <c r="N30" i="12"/>
  <c r="O30" i="12" s="1"/>
  <c r="P30" i="12" s="1"/>
  <c r="Q30" i="12" s="1"/>
  <c r="R30" i="12" s="1"/>
  <c r="S30" i="12" s="1"/>
  <c r="T30" i="12" s="1"/>
  <c r="U30" i="12" s="1"/>
  <c r="I31" i="12"/>
  <c r="J31" i="12"/>
  <c r="K31" i="12"/>
  <c r="L31" i="12"/>
  <c r="M31" i="12"/>
  <c r="N31" i="12" s="1"/>
  <c r="O31" i="12" s="1"/>
  <c r="P31" i="12" s="1"/>
  <c r="Q31" i="12" s="1"/>
  <c r="R31" i="12" s="1"/>
  <c r="S31" i="12" s="1"/>
  <c r="T31" i="12" s="1"/>
  <c r="U31" i="12" s="1"/>
  <c r="I32" i="12"/>
  <c r="J32" i="12"/>
  <c r="K32" i="12"/>
  <c r="L32" i="12"/>
  <c r="M32" i="12"/>
  <c r="N32" i="12" s="1"/>
  <c r="I33" i="12"/>
  <c r="J33" i="12"/>
  <c r="K33" i="12"/>
  <c r="L33" i="12"/>
  <c r="M33" i="12"/>
  <c r="N33" i="12" s="1"/>
  <c r="O33" i="12" s="1"/>
  <c r="P33" i="12" s="1"/>
  <c r="Q33" i="12" s="1"/>
  <c r="R33" i="12" s="1"/>
  <c r="S33" i="12" s="1"/>
  <c r="T33" i="12" s="1"/>
  <c r="U33" i="12" s="1"/>
  <c r="I34" i="12"/>
  <c r="J34" i="12"/>
  <c r="K34" i="12"/>
  <c r="L34" i="12"/>
  <c r="M34" i="12"/>
  <c r="N34" i="12" s="1"/>
  <c r="O34" i="12" s="1"/>
  <c r="P34" i="12" s="1"/>
  <c r="Q34" i="12" s="1"/>
  <c r="R34" i="12" s="1"/>
  <c r="S34" i="12" s="1"/>
  <c r="T34" i="12" s="1"/>
  <c r="U34" i="12" s="1"/>
  <c r="I35" i="12"/>
  <c r="J35" i="12"/>
  <c r="K35" i="12"/>
  <c r="L35" i="12"/>
  <c r="M35" i="12"/>
  <c r="N35" i="12" s="1"/>
  <c r="O35" i="12" s="1"/>
  <c r="P35" i="12" s="1"/>
  <c r="Q35" i="12" s="1"/>
  <c r="R35" i="12" s="1"/>
  <c r="S35" i="12" s="1"/>
  <c r="T35" i="12" s="1"/>
  <c r="U35" i="12" s="1"/>
  <c r="H36" i="12"/>
  <c r="I37" i="12"/>
  <c r="J37" i="12"/>
  <c r="K37" i="12"/>
  <c r="L37" i="12"/>
  <c r="M37" i="12"/>
  <c r="N37" i="12" s="1"/>
  <c r="O37" i="12" s="1"/>
  <c r="P37" i="12" s="1"/>
  <c r="Q37" i="12" s="1"/>
  <c r="R37" i="12" s="1"/>
  <c r="S37" i="12" s="1"/>
  <c r="T37" i="12" s="1"/>
  <c r="U37" i="12" s="1"/>
  <c r="I38" i="12"/>
  <c r="J38" i="12"/>
  <c r="K38" i="12"/>
  <c r="L38" i="12"/>
  <c r="M38" i="12"/>
  <c r="N38" i="12" s="1"/>
  <c r="O38" i="12" s="1"/>
  <c r="P38" i="12" s="1"/>
  <c r="Q38" i="12" s="1"/>
  <c r="R38" i="12" s="1"/>
  <c r="S38" i="12" s="1"/>
  <c r="T38" i="12" s="1"/>
  <c r="U38" i="12" s="1"/>
  <c r="I39" i="12"/>
  <c r="J39" i="12"/>
  <c r="K39" i="12"/>
  <c r="L39" i="12"/>
  <c r="M39" i="12"/>
  <c r="N39" i="12" s="1"/>
  <c r="O39" i="12" s="1"/>
  <c r="P39" i="12" s="1"/>
  <c r="Q39" i="12" s="1"/>
  <c r="R39" i="12" s="1"/>
  <c r="S39" i="12" s="1"/>
  <c r="T39" i="12" s="1"/>
  <c r="U39" i="12" s="1"/>
  <c r="I40" i="12"/>
  <c r="J40" i="12"/>
  <c r="K40" i="12"/>
  <c r="L40" i="12"/>
  <c r="M40" i="12"/>
  <c r="N40" i="12" s="1"/>
  <c r="O40" i="12" s="1"/>
  <c r="P40" i="12" s="1"/>
  <c r="Q40" i="12" s="1"/>
  <c r="R40" i="12" s="1"/>
  <c r="S40" i="12" s="1"/>
  <c r="T40" i="12" s="1"/>
  <c r="U40" i="12" s="1"/>
  <c r="I36" i="12"/>
  <c r="N29" i="12"/>
  <c r="O29" i="12" s="1"/>
  <c r="P29" i="12" s="1"/>
  <c r="J36" i="12"/>
  <c r="K36" i="12"/>
  <c r="L36" i="12"/>
  <c r="M36" i="12"/>
  <c r="K19" i="6"/>
  <c r="K20" i="6" s="1"/>
  <c r="L20" i="6" s="1"/>
  <c r="M20" i="6" s="1"/>
  <c r="N20" i="6" s="1"/>
  <c r="K19" i="5"/>
  <c r="K20" i="5" s="1"/>
  <c r="J5" i="7"/>
  <c r="K5" i="7"/>
  <c r="L5" i="7"/>
  <c r="M5" i="7"/>
  <c r="N5" i="7"/>
  <c r="O5" i="7"/>
  <c r="P5" i="7"/>
  <c r="Q5" i="7"/>
  <c r="R5" i="7"/>
  <c r="S5" i="7"/>
  <c r="T5" i="7"/>
  <c r="U5" i="7"/>
  <c r="I5" i="7"/>
  <c r="J3" i="7"/>
  <c r="K3" i="7"/>
  <c r="L3" i="7"/>
  <c r="M3" i="7"/>
  <c r="N3" i="7"/>
  <c r="O3" i="7"/>
  <c r="P3" i="7"/>
  <c r="Q3" i="7"/>
  <c r="R3" i="7"/>
  <c r="S3" i="7"/>
  <c r="T3" i="7"/>
  <c r="U3" i="7"/>
  <c r="I3" i="7"/>
  <c r="U5" i="6"/>
  <c r="T5" i="6"/>
  <c r="S5" i="6"/>
  <c r="R5" i="6"/>
  <c r="Q5" i="6"/>
  <c r="P5" i="6"/>
  <c r="O5" i="6"/>
  <c r="N5" i="6"/>
  <c r="M5" i="6"/>
  <c r="L5" i="6"/>
  <c r="K5" i="6"/>
  <c r="J5" i="6"/>
  <c r="I5" i="6"/>
  <c r="U3" i="6"/>
  <c r="T3" i="6"/>
  <c r="S3" i="6"/>
  <c r="R3" i="6"/>
  <c r="Q3" i="6"/>
  <c r="P3" i="6"/>
  <c r="O3" i="6"/>
  <c r="N3" i="6"/>
  <c r="M3" i="6"/>
  <c r="L3" i="6"/>
  <c r="K3" i="6"/>
  <c r="J3" i="6"/>
  <c r="I3" i="6"/>
  <c r="L41" i="5"/>
  <c r="M41" i="5"/>
  <c r="N41" i="5"/>
  <c r="O41" i="5"/>
  <c r="P41" i="5"/>
  <c r="S3" i="1"/>
  <c r="T3" i="1"/>
  <c r="U3" i="1"/>
  <c r="S5" i="1"/>
  <c r="T5" i="1"/>
  <c r="U5" i="1"/>
  <c r="T3" i="5"/>
  <c r="U3" i="5"/>
  <c r="T5" i="5"/>
  <c r="U5" i="5"/>
  <c r="S5" i="5"/>
  <c r="R5" i="5"/>
  <c r="Q5" i="5"/>
  <c r="P5" i="5"/>
  <c r="O5" i="5"/>
  <c r="N5" i="5"/>
  <c r="M5" i="5"/>
  <c r="L5" i="5"/>
  <c r="K5" i="5"/>
  <c r="J5" i="5"/>
  <c r="I5" i="5"/>
  <c r="S3" i="5"/>
  <c r="R3" i="5"/>
  <c r="Q3" i="5"/>
  <c r="P3" i="5"/>
  <c r="O3" i="5"/>
  <c r="N3" i="5"/>
  <c r="M3" i="5"/>
  <c r="L3" i="5"/>
  <c r="K3" i="5"/>
  <c r="J3" i="5"/>
  <c r="I3" i="5"/>
  <c r="R5" i="1"/>
  <c r="Q5" i="1"/>
  <c r="P5" i="1"/>
  <c r="O5" i="1"/>
  <c r="N5" i="1"/>
  <c r="M5" i="1"/>
  <c r="L5" i="1"/>
  <c r="J5" i="1"/>
  <c r="I5" i="1"/>
  <c r="K5" i="1"/>
  <c r="R3" i="1"/>
  <c r="Q3" i="1"/>
  <c r="P3" i="1"/>
  <c r="O3" i="1"/>
  <c r="N3" i="1"/>
  <c r="M3" i="1"/>
  <c r="L3" i="1"/>
  <c r="K3" i="1"/>
  <c r="J3" i="1"/>
  <c r="I3" i="1"/>
  <c r="L20" i="5" l="1"/>
  <c r="M20" i="5" s="1"/>
  <c r="N20" i="5" s="1"/>
  <c r="P25" i="5"/>
  <c r="P25" i="6"/>
  <c r="L51" i="12"/>
  <c r="L13" i="6" s="1"/>
  <c r="L14" i="6" s="1"/>
  <c r="L15" i="6" s="1"/>
  <c r="L38" i="6" s="1"/>
  <c r="K51" i="12"/>
  <c r="J51" i="12"/>
  <c r="O20" i="6"/>
  <c r="P20" i="6" s="1"/>
  <c r="N22" i="6"/>
  <c r="J49" i="12"/>
  <c r="N49" i="12"/>
  <c r="K49" i="12"/>
  <c r="I49" i="12"/>
  <c r="L49" i="12"/>
  <c r="M49" i="12"/>
  <c r="I41" i="12"/>
  <c r="M51" i="12"/>
  <c r="N51" i="12"/>
  <c r="Q29" i="12"/>
  <c r="K41" i="12"/>
  <c r="L41" i="12"/>
  <c r="M41" i="12"/>
  <c r="O32" i="12"/>
  <c r="J41" i="12"/>
  <c r="N36" i="12"/>
  <c r="O49" i="12" s="1"/>
  <c r="N22" i="5" l="1"/>
  <c r="O20" i="5"/>
  <c r="P20" i="5" s="1"/>
  <c r="P26" i="5" s="1"/>
  <c r="P27" i="5" s="1"/>
  <c r="P22" i="6"/>
  <c r="P26" i="6"/>
  <c r="P27" i="6" s="1"/>
  <c r="L13" i="5"/>
  <c r="L14" i="5" s="1"/>
  <c r="L15" i="5" s="1"/>
  <c r="N23" i="5"/>
  <c r="O22" i="6"/>
  <c r="O23" i="6" s="1"/>
  <c r="N23" i="6"/>
  <c r="O36" i="12"/>
  <c r="P49" i="12" s="1"/>
  <c r="O22" i="5"/>
  <c r="O23" i="5" s="1"/>
  <c r="N13" i="6"/>
  <c r="N14" i="6" s="1"/>
  <c r="N13" i="5"/>
  <c r="N14" i="5" s="1"/>
  <c r="M13" i="5"/>
  <c r="M14" i="5" s="1"/>
  <c r="M13" i="6"/>
  <c r="M14" i="6" s="1"/>
  <c r="M15" i="6" s="1"/>
  <c r="M38" i="6" s="1"/>
  <c r="O51" i="12"/>
  <c r="N41" i="12"/>
  <c r="L37" i="6"/>
  <c r="P32" i="12"/>
  <c r="R29" i="12"/>
  <c r="P28" i="6" l="1"/>
  <c r="P82" i="6" s="1"/>
  <c r="P22" i="5"/>
  <c r="P28" i="5"/>
  <c r="P82" i="5" s="1"/>
  <c r="L37" i="5"/>
  <c r="L38" i="5"/>
  <c r="L43" i="6"/>
  <c r="L47" i="6" s="1"/>
  <c r="L48" i="6" s="1"/>
  <c r="M15" i="5"/>
  <c r="O41" i="12"/>
  <c r="P51" i="12"/>
  <c r="N15" i="6"/>
  <c r="M37" i="6"/>
  <c r="Q32" i="12"/>
  <c r="S29" i="12"/>
  <c r="O13" i="5"/>
  <c r="O14" i="5" s="1"/>
  <c r="O13" i="6"/>
  <c r="O14" i="6" s="1"/>
  <c r="P23" i="6"/>
  <c r="P36" i="12"/>
  <c r="Q49" i="12" s="1"/>
  <c r="L39" i="5" l="1"/>
  <c r="L52" i="5" s="1"/>
  <c r="L53" i="5" s="1"/>
  <c r="L54" i="5" s="1"/>
  <c r="L56" i="5" s="1"/>
  <c r="L57" i="5" s="1"/>
  <c r="L58" i="5" s="1"/>
  <c r="N59" i="5" s="1"/>
  <c r="N63" i="5" s="1"/>
  <c r="P13" i="5"/>
  <c r="P14" i="5" s="1"/>
  <c r="P35" i="5"/>
  <c r="P35" i="6"/>
  <c r="M37" i="5"/>
  <c r="L39" i="6"/>
  <c r="L52" i="6" s="1"/>
  <c r="L53" i="6" s="1"/>
  <c r="L54" i="6" s="1"/>
  <c r="L56" i="6" s="1"/>
  <c r="L57" i="6" s="1"/>
  <c r="L58" i="6" s="1"/>
  <c r="N59" i="6" s="1"/>
  <c r="N63" i="6" s="1"/>
  <c r="N15" i="5"/>
  <c r="O15" i="5" s="1"/>
  <c r="M38" i="5"/>
  <c r="M43" i="5" s="1"/>
  <c r="M47" i="5" s="1"/>
  <c r="M48" i="5" s="1"/>
  <c r="L43" i="5"/>
  <c r="L47" i="5" s="1"/>
  <c r="L48" i="5" s="1"/>
  <c r="P13" i="6"/>
  <c r="P14" i="6" s="1"/>
  <c r="M43" i="6"/>
  <c r="M47" i="6" s="1"/>
  <c r="M48" i="6" s="1"/>
  <c r="Q51" i="12"/>
  <c r="N49" i="6"/>
  <c r="N62" i="6" s="1"/>
  <c r="Q36" i="12"/>
  <c r="R49" i="12" s="1"/>
  <c r="P41" i="12"/>
  <c r="T29" i="12"/>
  <c r="R32" i="12"/>
  <c r="P23" i="5"/>
  <c r="L44" i="6"/>
  <c r="L67" i="6" s="1"/>
  <c r="N37" i="6"/>
  <c r="O15" i="6"/>
  <c r="L44" i="5" l="1"/>
  <c r="L67" i="5" s="1"/>
  <c r="N32" i="5"/>
  <c r="N38" i="5" s="1"/>
  <c r="N37" i="5"/>
  <c r="M39" i="5"/>
  <c r="M52" i="5" s="1"/>
  <c r="M53" i="5" s="1"/>
  <c r="M54" i="5" s="1"/>
  <c r="M56" i="5" s="1"/>
  <c r="M57" i="5" s="1"/>
  <c r="M58" i="5" s="1"/>
  <c r="O59" i="5" s="1"/>
  <c r="O63" i="5" s="1"/>
  <c r="N32" i="6"/>
  <c r="N38" i="6" s="1"/>
  <c r="N43" i="6" s="1"/>
  <c r="N47" i="6" s="1"/>
  <c r="N48" i="6" s="1"/>
  <c r="N64" i="6"/>
  <c r="N49" i="5"/>
  <c r="N62" i="5" s="1"/>
  <c r="N64" i="5" s="1"/>
  <c r="M39" i="6"/>
  <c r="M52" i="6" s="1"/>
  <c r="M53" i="6" s="1"/>
  <c r="M54" i="6" s="1"/>
  <c r="M56" i="6" s="1"/>
  <c r="M57" i="6" s="1"/>
  <c r="M58" i="6" s="1"/>
  <c r="O59" i="6" s="1"/>
  <c r="O63" i="6" s="1"/>
  <c r="Q41" i="12"/>
  <c r="R51" i="12"/>
  <c r="M44" i="6"/>
  <c r="M67" i="6" s="1"/>
  <c r="M44" i="5"/>
  <c r="M67" i="5" s="1"/>
  <c r="P15" i="6"/>
  <c r="O37" i="6"/>
  <c r="P15" i="5"/>
  <c r="O37" i="5"/>
  <c r="S32" i="12"/>
  <c r="O49" i="5"/>
  <c r="O62" i="5" s="1"/>
  <c r="U29" i="12"/>
  <c r="R36" i="12"/>
  <c r="S49" i="12" s="1"/>
  <c r="O49" i="6"/>
  <c r="O62" i="6" s="1"/>
  <c r="N43" i="5" l="1"/>
  <c r="N47" i="5" s="1"/>
  <c r="N48" i="5" s="1"/>
  <c r="P49" i="5" s="1"/>
  <c r="P62" i="5" s="1"/>
  <c r="N39" i="5"/>
  <c r="N52" i="5" s="1"/>
  <c r="N53" i="5" s="1"/>
  <c r="N54" i="5" s="1"/>
  <c r="N56" i="5" s="1"/>
  <c r="N57" i="5" s="1"/>
  <c r="N58" i="5" s="1"/>
  <c r="P59" i="5" s="1"/>
  <c r="P63" i="5" s="1"/>
  <c r="O64" i="5"/>
  <c r="O32" i="5"/>
  <c r="O38" i="5" s="1"/>
  <c r="O43" i="5" s="1"/>
  <c r="P72" i="5" s="1"/>
  <c r="N39" i="6"/>
  <c r="N52" i="6" s="1"/>
  <c r="N53" i="6" s="1"/>
  <c r="N54" i="6" s="1"/>
  <c r="N56" i="6" s="1"/>
  <c r="N57" i="6" s="1"/>
  <c r="N58" i="6" s="1"/>
  <c r="P59" i="6" s="1"/>
  <c r="P63" i="6" s="1"/>
  <c r="O64" i="6"/>
  <c r="O32" i="6"/>
  <c r="O38" i="6" s="1"/>
  <c r="O39" i="6" s="1"/>
  <c r="O52" i="6" s="1"/>
  <c r="O53" i="6" s="1"/>
  <c r="O54" i="6" s="1"/>
  <c r="O56" i="6" s="1"/>
  <c r="P73" i="6" s="1"/>
  <c r="P49" i="6"/>
  <c r="P62" i="6" s="1"/>
  <c r="T32" i="12"/>
  <c r="S36" i="12"/>
  <c r="T49" i="12" s="1"/>
  <c r="R41" i="12"/>
  <c r="P37" i="5"/>
  <c r="S51" i="12"/>
  <c r="N44" i="6"/>
  <c r="N67" i="6" s="1"/>
  <c r="P37" i="6"/>
  <c r="N44" i="5" l="1"/>
  <c r="N67" i="5" s="1"/>
  <c r="P32" i="5"/>
  <c r="P38" i="5" s="1"/>
  <c r="P43" i="5" s="1"/>
  <c r="P77" i="5" s="1"/>
  <c r="P64" i="5"/>
  <c r="P32" i="6"/>
  <c r="P38" i="6" s="1"/>
  <c r="P44" i="6" s="1"/>
  <c r="P67" i="6" s="1"/>
  <c r="P64" i="6"/>
  <c r="O43" i="6"/>
  <c r="P72" i="6" s="1"/>
  <c r="P74" i="6" s="1"/>
  <c r="O39" i="5"/>
  <c r="O52" i="5" s="1"/>
  <c r="O53" i="5" s="1"/>
  <c r="O54" i="5" s="1"/>
  <c r="O56" i="5" s="1"/>
  <c r="P73" i="5" s="1"/>
  <c r="P74" i="5" s="1"/>
  <c r="O44" i="5"/>
  <c r="O67" i="5" s="1"/>
  <c r="T36" i="12"/>
  <c r="S41" i="12"/>
  <c r="U32" i="12"/>
  <c r="O44" i="6"/>
  <c r="O67" i="6" s="1"/>
  <c r="T51" i="12"/>
  <c r="P39" i="6" l="1"/>
  <c r="P52" i="6" s="1"/>
  <c r="P53" i="6" s="1"/>
  <c r="P54" i="6" s="1"/>
  <c r="P56" i="6" s="1"/>
  <c r="P78" i="6" s="1"/>
  <c r="P43" i="6"/>
  <c r="P77" i="6" s="1"/>
  <c r="P39" i="5"/>
  <c r="P52" i="5" s="1"/>
  <c r="P53" i="5" s="1"/>
  <c r="P54" i="5" s="1"/>
  <c r="P56" i="5" s="1"/>
  <c r="P78" i="5" s="1"/>
  <c r="P79" i="5" s="1"/>
  <c r="P84" i="5" s="1"/>
  <c r="P44" i="5"/>
  <c r="P67" i="5" s="1"/>
  <c r="U51" i="12"/>
  <c r="U49" i="12"/>
  <c r="U36" i="12"/>
  <c r="U41" i="12" s="1"/>
  <c r="T41" i="12"/>
  <c r="P79" i="6" l="1"/>
  <c r="P84" i="6" s="1"/>
  <c r="P12" i="7" s="1"/>
  <c r="P10" i="7"/>
</calcChain>
</file>

<file path=xl/sharedStrings.xml><?xml version="1.0" encoding="utf-8"?>
<sst xmlns="http://schemas.openxmlformats.org/spreadsheetml/2006/main" count="606" uniqueCount="266">
  <si>
    <t>Change log</t>
  </si>
  <si>
    <t>#</t>
  </si>
  <si>
    <t>Issue</t>
  </si>
  <si>
    <t>Change</t>
  </si>
  <si>
    <t>Sheet</t>
  </si>
  <si>
    <t>Row</t>
  </si>
  <si>
    <t xml:space="preserve">Company noted that the Ofwat excel model ‘Data sheet’ sheet rows 27 and 28 requires the allowed revenue for water and wastewater to be entered at 2012-13 price base. If this is taken from the wholesale allowed revenue shown in the FD company-specific appendix, e.g. water Table A2.10 final row, the re-pricing applied in the Ofwat excel spreadsheet will not generate the correct allowed revenue to be used as the basis for companies’ price setting. </t>
  </si>
  <si>
    <t>Example updated to use allowed revenue per FD company letter and applying the licence approach of Rt=Rt-1 * 1+(RPI+Kt)/100</t>
  </si>
  <si>
    <t>WFRIM - Water
WFRIM - Waste</t>
  </si>
  <si>
    <t>13 &amp; 20</t>
  </si>
  <si>
    <t>Company pointed out an issue in implementation of RPI compounding from t-2 to t. WRFIM-water tab cell L39 (and hence N41) inflates cell L30 by applying the RPI movement from 2012-13 to 2016-17 and then 2012-13 to 2017-18 prices. As cell L30 is already at 2015-16 prices, the indexation applied should be from 2015-16 to 2016-17 and then from 2016-17 to 2017-18 prices. Similar indexing issues will apply in future years and also in the WRFIM wastewater tab.</t>
  </si>
  <si>
    <t>Updated to use a Nov-Nov year on year RPI series, removing the issue that stemmed from the compound index series.</t>
  </si>
  <si>
    <t>39 &amp; 49</t>
  </si>
  <si>
    <t>Company requested that the WRFIM penalty components be split into two components (indexation and penalty) for transparency. They also pointed out a typo in the RPI used for uplift in the illustrative example.</t>
  </si>
  <si>
    <t>New WFRIM formula clearly distinguishes the penalty and the revenue deltas. Implementation of the formula has been performed such that the indexation is applied separately for transparency.</t>
  </si>
  <si>
    <t>Rows 23 onwards</t>
  </si>
  <si>
    <t>Two companies noted there is a possible unintended consequence in the application of the WRFIM formula which applies penalties for both under and over-recovery of revenues. They noted that where there is an under-recovery of revenues in one year they cannot subsequently over-recover to compensate for this due to the constraints of their licence which forms a cap on revenue.</t>
  </si>
  <si>
    <t>New WFRIM formula seeks to address this.</t>
  </si>
  <si>
    <t>Wrong year referenced in WRIFM water worksheet. Allowed Revenue from FD for 2015/16 incorrectly references 2014/15</t>
  </si>
  <si>
    <t>Formula in cell L28 amended to reference L15.</t>
  </si>
  <si>
    <t>WRIFM - Water</t>
  </si>
  <si>
    <t>L28</t>
  </si>
  <si>
    <t xml:space="preserve">Formatting of Cells L27 and L28 on Data worksheet incorrect. </t>
  </si>
  <si>
    <t>K27 and K28 formatted as input cells. L27 and L28 formatted as blank cells.</t>
  </si>
  <si>
    <t>Data</t>
  </si>
  <si>
    <t>L28,L27, K27, K28</t>
  </si>
  <si>
    <t>Financing costs incorrectly applied to year 4 penalty</t>
  </si>
  <si>
    <t>Financing costs removed from formulae</t>
  </si>
  <si>
    <t>WRFIM - Water
WRFIM - Waste</t>
  </si>
  <si>
    <t>P64</t>
  </si>
  <si>
    <t>Ability to spread RCM adjustment to smooth impact on customers</t>
  </si>
  <si>
    <t>Added functionality to take RCM adjustments over 1,2, 3 or more years</t>
  </si>
  <si>
    <t xml:space="preserve">Data
WRFIM - Water
WRFIM - Waste
</t>
  </si>
  <si>
    <t>Data row 44 and 45
WRFIM Water and Waste rows 20-22</t>
  </si>
  <si>
    <t>Model does not take into account potential penalties incurred in year 4 and year 5</t>
  </si>
  <si>
    <t>Copy formulae in WRIFM - Water and WRIFM - Waste N48 into O48 and P48</t>
  </si>
  <si>
    <t>N48 and P48</t>
  </si>
  <si>
    <t>Inflation of RCM element of WRFIM changed from year average to Nov-Nov movements</t>
  </si>
  <si>
    <t>Change inflation uplift from year cumulative year average (Indexation.Average) to Cumulative November (Indexation.November.Actual)</t>
  </si>
  <si>
    <t>Row 23</t>
  </si>
  <si>
    <t>Model modified to work for companies who accept licence modification</t>
  </si>
  <si>
    <t>True/False flag added to data worksheet. When 'True' AR* is defined as AR (Formula changes from min of rows 29 to 30 to equal row 30).</t>
  </si>
  <si>
    <t>WRFIM - Water
WRFIM - Waste
Data</t>
  </si>
  <si>
    <t>Row 31 WRFIM sheets
Data row 12</t>
  </si>
  <si>
    <t>Line description</t>
  </si>
  <si>
    <t>E24 description aligned with business plan table App23</t>
  </si>
  <si>
    <t>RPI</t>
  </si>
  <si>
    <t>E24</t>
  </si>
  <si>
    <t>Incorrect cell references</t>
  </si>
  <si>
    <t>Rows 49 and 51 changed to reference row 36</t>
  </si>
  <si>
    <t>Row 49 and 51</t>
  </si>
  <si>
    <t>Redundant lines</t>
  </si>
  <si>
    <t>Rows 43-45, 54-56 and 58</t>
  </si>
  <si>
    <t>Display formatting of cells incorrect</t>
  </si>
  <si>
    <t>K27, K28, rows 36, 37 and 42 to 45 formatted to display correct decimal places</t>
  </si>
  <si>
    <t>K27, K28, rows 36, 37, 42 to K43</t>
  </si>
  <si>
    <t>WRFIM inputs</t>
  </si>
  <si>
    <t>Year</t>
  </si>
  <si>
    <t>Calendar year</t>
  </si>
  <si>
    <t>Year number</t>
  </si>
  <si>
    <t>Model inputs</t>
  </si>
  <si>
    <t>Text</t>
  </si>
  <si>
    <t>Company Name</t>
  </si>
  <si>
    <t>Company Type</t>
  </si>
  <si>
    <t>True/False</t>
  </si>
  <si>
    <t>Company has accepted WRFIM licence modification</t>
  </si>
  <si>
    <t>WRFIM Parameters</t>
  </si>
  <si>
    <t>Penalty rate scaling</t>
  </si>
  <si>
    <t>% 2dp</t>
  </si>
  <si>
    <t>Minimum threshold (+/-)</t>
  </si>
  <si>
    <t>Threshold.Min</t>
  </si>
  <si>
    <t>Maximum threshold (+/-)</t>
  </si>
  <si>
    <t>Threshold.Max</t>
  </si>
  <si>
    <t>Penalty rate (+/-)</t>
  </si>
  <si>
    <t>Penalty.Rate.General</t>
  </si>
  <si>
    <t>Specified discount rate</t>
  </si>
  <si>
    <t>Discount.Rate</t>
  </si>
  <si>
    <t>Threshold for additional variance analyses (+/-)</t>
  </si>
  <si>
    <t>Additional.Analysis</t>
  </si>
  <si>
    <t>Revenue</t>
  </si>
  <si>
    <t>Allowed revenue</t>
  </si>
  <si>
    <t>£m 3dp</t>
  </si>
  <si>
    <t>Allowed revenue - water</t>
  </si>
  <si>
    <t>14/15 price base</t>
  </si>
  <si>
    <t>AllRev.Water</t>
  </si>
  <si>
    <t>Allowed revenue - wastewater</t>
  </si>
  <si>
    <t>AllRev.Waste</t>
  </si>
  <si>
    <t>K</t>
  </si>
  <si>
    <t>Nr</t>
  </si>
  <si>
    <t>K - water</t>
  </si>
  <si>
    <t>K.Water</t>
  </si>
  <si>
    <t>K - waste</t>
  </si>
  <si>
    <t>K.Waste</t>
  </si>
  <si>
    <t>Recovered revenue</t>
  </si>
  <si>
    <t>To be completed at the end of PR14&gt;&gt;</t>
  </si>
  <si>
    <t>Recovered revenue - water</t>
  </si>
  <si>
    <t>Outturn price base</t>
  </si>
  <si>
    <t>RecRev.Water</t>
  </si>
  <si>
    <t>Recovered revenue - wastewater</t>
  </si>
  <si>
    <t>RecRev.Waste</t>
  </si>
  <si>
    <t>Blind year adjustments</t>
  </si>
  <si>
    <t>RCM adjustment</t>
  </si>
  <si>
    <t>Blind year adjustment 14/15 - water</t>
  </si>
  <si>
    <t>12/13 price base</t>
  </si>
  <si>
    <t>BlindYear.1415.Adj.Water</t>
  </si>
  <si>
    <t>Blind year adjustment 14/15 - waste</t>
  </si>
  <si>
    <t>BlindYear.1415.Adj.Waste</t>
  </si>
  <si>
    <t>% 1dp</t>
  </si>
  <si>
    <t>Percentage of blind year adjustment by year - water</t>
  </si>
  <si>
    <t>All values must be &gt;=0; sum of values must be &lt;=1.</t>
  </si>
  <si>
    <t>Percentage of blind year adjustment by year - waste</t>
  </si>
  <si>
    <t>End</t>
  </si>
  <si>
    <t>Retail Price Index</t>
  </si>
  <si>
    <t>2011-12</t>
  </si>
  <si>
    <t>Actual Year</t>
  </si>
  <si>
    <t/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</si>
  <si>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</si>
  <si>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</si>
  <si>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</si>
  <si>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</si>
  <si>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</si>
  <si>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</si>
  <si>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</si>
  <si>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</si>
  <si>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</si>
  <si>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</si>
  <si>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</si>
  <si>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</si>
  <si>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</si>
  <si>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</si>
  <si>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% 4dp</t>
  </si>
  <si>
    <t>Completeness check</t>
  </si>
  <si>
    <t>Indexation.Check</t>
  </si>
  <si>
    <t>Series of actual and forecast RPI</t>
  </si>
  <si>
    <t>RPI: Financial year average - index</t>
  </si>
  <si>
    <t>%</t>
  </si>
  <si>
    <t>Override</t>
  </si>
  <si>
    <t>Calculated (including override)</t>
  </si>
  <si>
    <t>Actual RPI: Basket year - cumulative % increase from 2012/13 basket value</t>
  </si>
  <si>
    <t>Indexation.November.Actual.Override</t>
  </si>
  <si>
    <t>Indexation.November.Actual</t>
  </si>
  <si>
    <t>Actual RPI: Nov - Nov % increase</t>
  </si>
  <si>
    <t>Indexation.November.Actual.YearOnYear</t>
  </si>
  <si>
    <t>WRFIM calculations - water</t>
  </si>
  <si>
    <t>1 WRFIM calculation</t>
  </si>
  <si>
    <t>Calculate an adjusted allowed revenue using penalty and/or blind-year adjustment</t>
  </si>
  <si>
    <t>Allowed Revenue</t>
  </si>
  <si>
    <t>Actual Nov-Nov RPI</t>
  </si>
  <si>
    <t>1 + (RPI + Kt )/100</t>
  </si>
  <si>
    <t>Allowed Revenue (Outturn price base)</t>
  </si>
  <si>
    <t>AllRev.Outturn.Water</t>
  </si>
  <si>
    <t>Convert blind year to outturn price base and apply in 2016</t>
  </si>
  <si>
    <t>Blind year adjustment</t>
  </si>
  <si>
    <t>AMP5 RCM adjustment</t>
  </si>
  <si>
    <t>AMP5.RCM.Adj.Water</t>
  </si>
  <si>
    <t>AMP5 RCM adjustment including financing rate adjustment</t>
  </si>
  <si>
    <t>Percentage</t>
  </si>
  <si>
    <t>AMP5 RCM blind year adjustment (12/13 price base)</t>
  </si>
  <si>
    <t>AMP5 RCM blind year adjustment (Outturn price base)</t>
  </si>
  <si>
    <t>RCM.BlindYear.Adj.Water</t>
  </si>
  <si>
    <t>Adjust allowed revenue by RFIM adjustment</t>
  </si>
  <si>
    <t>Determine the main revenue over /  under recovery</t>
  </si>
  <si>
    <t>AMP6 forecasting incentive adjustment including over / under recovery true up</t>
  </si>
  <si>
    <t>AMP6.FI.Adj.Water</t>
  </si>
  <si>
    <t>Allowed Revenue from FD</t>
  </si>
  <si>
    <t>Adjusted Allowed Revenue (AR)</t>
  </si>
  <si>
    <t>Adj.AllRev.Water</t>
  </si>
  <si>
    <t>Baseline revenue for calculation of penalties (AR*)</t>
  </si>
  <si>
    <t>Baseline.AllRev.Water</t>
  </si>
  <si>
    <t>Revenue Recovered (RR)</t>
  </si>
  <si>
    <t>Over (+) / Under (-) recovery versus adjusted allowed revenue</t>
  </si>
  <si>
    <t>% (under) / over recovered versus adjusted allowed revenue</t>
  </si>
  <si>
    <t>Perc.Recovered.Water</t>
  </si>
  <si>
    <t>Main revenue adjustment</t>
  </si>
  <si>
    <t>Main revenue adjustment - with financing adjustment</t>
  </si>
  <si>
    <t>Main revenue adjustment - with financing adjustment &amp; 2 year lag of inflation</t>
  </si>
  <si>
    <t>Outturn price base plus 2 years</t>
  </si>
  <si>
    <t>Main revenue adjustment - as incurred</t>
  </si>
  <si>
    <t>Penalty calculation</t>
  </si>
  <si>
    <t>Forecast error</t>
  </si>
  <si>
    <t>Boolean</t>
  </si>
  <si>
    <t>Is a penalty  required?</t>
  </si>
  <si>
    <t>Penalty rate magnitude</t>
  </si>
  <si>
    <t>Penalty adjustment</t>
  </si>
  <si>
    <t>Penalty adjustment - with financing adjustment</t>
  </si>
  <si>
    <t>Penalty adjustment - with financing adjustment &amp; 2 year lag of inflation</t>
  </si>
  <si>
    <t>Penalty adjustment - as incurred</t>
  </si>
  <si>
    <t>WRFIM adjustment</t>
  </si>
  <si>
    <t>WRFIM adjustment - as incurred</t>
  </si>
  <si>
    <t>Performance is outside +/-6% variance level</t>
  </si>
  <si>
    <t>Is more detailed variance analyses required to be submitted?</t>
  </si>
  <si>
    <t>2 Application of penalty</t>
  </si>
  <si>
    <t>One year of RPI and financing costs adjustments to main revenue applied</t>
  </si>
  <si>
    <t>Value of Year 4 main revenue adjustment at the end of AMP6</t>
  </si>
  <si>
    <t>Value of Year 4 penalty adjustment at the end of AMP6</t>
  </si>
  <si>
    <t>Value of Year 4 WRFIM adjustments at the end of AMP6</t>
  </si>
  <si>
    <t>No RPI and financing costs adjustments applied</t>
  </si>
  <si>
    <t>Value of Year 5 main revenue adjustment at the end of AMP6</t>
  </si>
  <si>
    <t>Value of Year 5 penalty adjustment at the end of AMP6</t>
  </si>
  <si>
    <t>Value of Year 5 WRFIM adjustments at the end of AMP6</t>
  </si>
  <si>
    <t>Total reward / (penalty) at the end of AMP6</t>
  </si>
  <si>
    <t>WRFIM.Water</t>
  </si>
  <si>
    <t>WRFIM calculations - waste</t>
  </si>
  <si>
    <t>AllRev.Outturn.Waste</t>
  </si>
  <si>
    <t>AMP5.RCM.Adj.Waste</t>
  </si>
  <si>
    <t>RCM.BlindYear.Adj.Waste</t>
  </si>
  <si>
    <t>AMP6.FI.Adj.Waste</t>
  </si>
  <si>
    <t>Adj.AllRev.Waste</t>
  </si>
  <si>
    <t>Baseline.AllRev.Waste</t>
  </si>
  <si>
    <t>Perc.Recovered.Waste</t>
  </si>
  <si>
    <t>WRFIM.Waste</t>
  </si>
  <si>
    <t>WRFIM adjustments</t>
  </si>
  <si>
    <t>1 WRFIM adjustment at the end of AMP6</t>
  </si>
  <si>
    <t>Total reward / (penalty) - water</t>
  </si>
  <si>
    <t>Total reward / (penalty) - waste</t>
  </si>
  <si>
    <t>Timeline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</si>
  <si>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</si>
  <si>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</si>
  <si>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</si>
  <si>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</si>
  <si>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</si>
  <si>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</si>
  <si>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</si>
  <si>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</si>
  <si>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</si>
  <si>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</si>
  <si>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</si>
  <si>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</si>
  <si>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</si>
  <si>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</si>
  <si>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</si>
  <si>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RPI: Assumed percentage increase for unpopulated monthly values</t>
  </si>
  <si>
    <t>Redundant code deleted</t>
  </si>
  <si>
    <t>Accelerated return of over-recovered revenue</t>
  </si>
  <si>
    <t xml:space="preserve">Over-recovered revenue returned to customers after one year </t>
  </si>
  <si>
    <t>Model modified to work for companies that accelerate the return of over-recovered revenue to customers after one year</t>
  </si>
  <si>
    <t>Data
WRFIM - Water
WRFIM - Waste</t>
  </si>
  <si>
    <t xml:space="preserve">Change calculation of 'Adjusted allowed revenue (AR)' to recognise the early return revenue in year t+1 and corresponding back out from year t+2 </t>
  </si>
  <si>
    <t>Data rows 47 to 54
WRFIM sheets rows 29 to 31 and 33</t>
  </si>
  <si>
    <t>Over-recovered 17/18 revenue returned - water</t>
  </si>
  <si>
    <t>Over-recovered 17/18 revenue returned - wastewater</t>
  </si>
  <si>
    <t>Over-recovered 18/19 revenue returned - water</t>
  </si>
  <si>
    <t>Over-recovered 18/19 revenue returned - wastewater</t>
  </si>
  <si>
    <t>Back out of over-recovered 17/18 revenue - water</t>
  </si>
  <si>
    <t>Back out of over-recovered 17/18 revenue - wastewater</t>
  </si>
  <si>
    <t>RCM adjustment remaining to be applied at PR19</t>
  </si>
  <si>
    <t>AMP5 RCM adjustment including additional year financing rate adjustment</t>
  </si>
  <si>
    <t>AMP5 RCM adjustment to be applied at PR19 (12/13 price base)</t>
  </si>
  <si>
    <t>AMP5 RCM adjustment to be applied at PR19 (Outturn price base)</t>
  </si>
  <si>
    <t>Percentage of blind year adjustment remaining to be applied at PR19 - water</t>
  </si>
  <si>
    <t>Percentage of blind year adjustment remaining to be applied at PR19 - waste</t>
  </si>
  <si>
    <t>Model assumes that the RCM adjustment will be profiled in full over 2017-18 to 2019-20. The model does not take account of the potential for the RCM adjustment to be deferred and applied at PR19.</t>
  </si>
  <si>
    <t>Added a check on the percentage of RCM blind year adjustment year by year applied in years 3 to 5. Where less than 100%, the remaining balance has a year's financing adjustment applied, is converted to outturn prices and included in the total reward / (penalty) at the end of AMP6.</t>
  </si>
  <si>
    <t>Rows 25-28
Row 82
Row 84</t>
  </si>
  <si>
    <t>WOC</t>
  </si>
  <si>
    <t>AFW</t>
  </si>
  <si>
    <t>Determination Grants and Contributions (£m nominal)</t>
  </si>
  <si>
    <t>Actual Revenue as Accounts (£m nominal)]</t>
  </si>
  <si>
    <t>Becomes the input to line 36 above</t>
  </si>
  <si>
    <t>Changes made to 15 July submitted version</t>
  </si>
  <si>
    <t>Actual revenue deducting claim for unanticipated excess contributions</t>
  </si>
  <si>
    <t>Determination Grants and Contributions (£m 12/13p)</t>
  </si>
  <si>
    <t>2019/20 forecast contributions reduced to £15.6m from £17.0m, (reduction to forecast connection charge revenue)</t>
  </si>
  <si>
    <t>Actual and Forecast Grants and Contributions (£m nominal)</t>
  </si>
  <si>
    <t>Difference in Grants and Contributions (£m nominal)</t>
  </si>
  <si>
    <t>Actual grants and contributions adjusted by £4.639m, (value of IRC in 2018/19 and 2019/20 times the prercentage excess over determination for those years ), spread evenly through the period, £2.281m per year reflecting greater company control of IRC after 10/03/2018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</si>
</sst>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_);\(#,##0\);\-_)"/>
    <numFmt numFmtId="165" formatCode="#,##0.00_);\(#,##0.00\);\-_)"/>
    <numFmt numFmtId="166" formatCode="#,##0.000_);\(#,##0.000\);\-_)"/>
    <numFmt numFmtId="167" formatCode="0.00%_);\(0.00%\);\-\%_)"/>
    <numFmt numFmtId="168" formatCode="#,##0.0_);\(#,##0.0\);\-_)"/>
    <numFmt numFmtId="169" formatCode="0.0%"/>
    <numFmt numFmtId="170" formatCode="#,##0.000"/>
    <numFmt numFmtId="171" formatCode="0.000"/>
  </numFmts>
  <fonts count="85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b/>
      <sz val="11"/>
      <color rgb="FFA32020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rgb="FF333333"/>
      <name val="Arial"/>
      <family val="2"/>
      <scheme val="minor"/>
    </font>
    <font>
      <sz val="10"/>
      <color rgb="FF006100"/>
      <name val="Arial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2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0"/>
      <color indexed="62"/>
      <name val="Arial"/>
      <family val="2"/>
    </font>
    <font>
      <b/>
      <sz val="26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8"/>
      <name val="Arial MT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sz val="10"/>
      <color rgb="FF00B050"/>
      <name val="Arial"/>
      <family val="2"/>
    </font>
    <font>
      <b/>
      <sz val="2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sz val="11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  <scheme val="minor"/>
    </font>
    <font>
      <b/>
      <sz val="26"/>
      <color theme="6" tint="-0.24997711111789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indexed="42"/>
      </patternFill>
    </fill>
    <fill>
      <patternFill patternType="solid">
        <fgColor indexed="1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5">
    <xf numFmtId="0" fontId="0" fillId="0" borderId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6" fillId="3" borderId="0" applyNumberFormat="0" applyBorder="0" applyAlignment="0" applyProtection="0"/>
    <xf numFmtId="0" fontId="32" fillId="4" borderId="0" applyNumberFormat="0" applyBorder="0" applyAlignment="0" applyProtection="0"/>
    <xf numFmtId="0" fontId="30" fillId="5" borderId="4" applyNumberFormat="0" applyAlignment="0" applyProtection="0"/>
    <xf numFmtId="0" fontId="35" fillId="6" borderId="5" applyNumberFormat="0" applyAlignment="0" applyProtection="0"/>
    <xf numFmtId="0" fontId="21" fillId="6" borderId="4" applyNumberFormat="0" applyAlignment="0" applyProtection="0"/>
    <xf numFmtId="0" fontId="31" fillId="0" borderId="6" applyNumberFormat="0" applyFill="0" applyAlignment="0" applyProtection="0"/>
    <xf numFmtId="0" fontId="22" fillId="7" borderId="7" applyNumberFormat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164" fontId="7" fillId="0" borderId="10">
      <alignment horizontal="center"/>
    </xf>
    <xf numFmtId="0" fontId="8" fillId="0" borderId="11" applyNumberFormat="0" applyAlignment="0" applyProtection="0"/>
    <xf numFmtId="0" fontId="9" fillId="0" borderId="0" applyNumberFormat="0" applyAlignment="0" applyProtection="0"/>
    <xf numFmtId="0" fontId="10" fillId="0" borderId="12" applyNumberFormat="0" applyFill="0" applyAlignment="0">
      <alignment vertical="top"/>
    </xf>
    <xf numFmtId="0" fontId="11" fillId="0" borderId="13" applyNumberFormat="0" applyFill="0" applyAlignment="0"/>
    <xf numFmtId="0" fontId="12" fillId="0" borderId="0" applyNumberFormat="0" applyFill="0" applyAlignment="0"/>
    <xf numFmtId="0" fontId="13" fillId="33" borderId="14" applyNumberFormat="0" applyFont="0" applyAlignment="0" applyProtection="0"/>
    <xf numFmtId="0" fontId="13" fillId="34" borderId="14" applyNumberFormat="0" applyFont="0" applyAlignment="0" applyProtection="0"/>
    <xf numFmtId="0" fontId="13" fillId="35" borderId="15" applyNumberFormat="0" applyFont="0" applyAlignment="0" applyProtection="0"/>
    <xf numFmtId="0" fontId="14" fillId="0" borderId="0" applyNumberFormat="0" applyFill="0" applyBorder="0" applyAlignment="0" applyProtection="0"/>
    <xf numFmtId="0" fontId="4" fillId="36" borderId="14" applyNumberFormat="0" applyFont="0" applyAlignment="0" applyProtection="0"/>
    <xf numFmtId="0" fontId="4" fillId="37" borderId="15" applyNumberFormat="0" applyFont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9" fontId="17" fillId="0" borderId="0" applyFont="0" applyFill="0" applyBorder="0" applyAlignment="0" applyProtection="0">
      <alignment horizontal="left"/>
    </xf>
    <xf numFmtId="0" fontId="13" fillId="0" borderId="0" applyAlignment="0" applyProtection="0"/>
    <xf numFmtId="0" fontId="18" fillId="0" borderId="0" applyFill="0" applyBorder="0" applyAlignment="0" applyProtection="0"/>
    <xf numFmtId="49" fontId="18" fillId="0" borderId="0" applyNumberFormat="0" applyAlignment="0" applyProtection="0">
      <alignment horizontal="left"/>
    </xf>
    <xf numFmtId="49" fontId="19" fillId="0" borderId="16" applyNumberFormat="0" applyAlignment="0" applyProtection="0">
      <alignment horizontal="left" wrapText="1"/>
    </xf>
    <xf numFmtId="49" fontId="19" fillId="0" borderId="0" applyNumberFormat="0" applyAlignment="0" applyProtection="0">
      <alignment horizontal="left" wrapText="1"/>
    </xf>
    <xf numFmtId="49" fontId="20" fillId="0" borderId="0" applyAlignment="0" applyProtection="0">
      <alignment horizontal="left"/>
    </xf>
    <xf numFmtId="0" fontId="22" fillId="38" borderId="0" applyNumberFormat="0" applyAlignment="0" applyProtection="0"/>
    <xf numFmtId="0" fontId="24" fillId="0" borderId="10" applyNumberFormat="0" applyAlignment="0" applyProtection="0"/>
    <xf numFmtId="0" fontId="29" fillId="39" borderId="0" applyNumberFormat="0" applyFont="0" applyAlignment="0" applyProtection="0"/>
    <xf numFmtId="0" fontId="33" fillId="40" borderId="0" applyNumberFormat="0" applyAlignment="0" applyProtection="0"/>
    <xf numFmtId="0" fontId="34" fillId="0" borderId="0"/>
    <xf numFmtId="0" fontId="13" fillId="0" borderId="0"/>
    <xf numFmtId="0" fontId="34" fillId="0" borderId="0"/>
    <xf numFmtId="0" fontId="34" fillId="8" borderId="8" applyNumberFormat="0" applyFont="0" applyAlignment="0" applyProtection="0"/>
    <xf numFmtId="0" fontId="15" fillId="0" borderId="0"/>
    <xf numFmtId="0" fontId="22" fillId="41" borderId="10" applyNumberFormat="0" applyAlignment="0" applyProtection="0"/>
    <xf numFmtId="0" fontId="13" fillId="42" borderId="14" applyNumberFormat="0" applyFont="0" applyAlignment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0" fontId="52" fillId="51" borderId="0" applyNumberFormat="0" applyBorder="0" applyAlignment="0" applyProtection="0"/>
    <xf numFmtId="0" fontId="52" fillId="34" borderId="0" applyNumberFormat="0" applyBorder="0" applyAlignment="0" applyProtection="0"/>
    <xf numFmtId="0" fontId="52" fillId="52" borderId="0" applyNumberFormat="0" applyBorder="0" applyAlignment="0" applyProtection="0"/>
    <xf numFmtId="0" fontId="52" fillId="51" borderId="0" applyNumberFormat="0" applyBorder="0" applyAlignment="0" applyProtection="0"/>
    <xf numFmtId="0" fontId="52" fillId="53" borderId="0" applyNumberFormat="0" applyBorder="0" applyAlignment="0" applyProtection="0"/>
    <xf numFmtId="0" fontId="52" fillId="34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33" borderId="0" applyNumberFormat="0" applyBorder="0" applyAlignment="0" applyProtection="0"/>
    <xf numFmtId="0" fontId="52" fillId="54" borderId="0" applyNumberFormat="0" applyBorder="0" applyAlignment="0" applyProtection="0"/>
    <xf numFmtId="0" fontId="52" fillId="56" borderId="0" applyNumberFormat="0" applyBorder="0" applyAlignment="0" applyProtection="0"/>
    <xf numFmtId="0" fontId="52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5" borderId="0" applyNumberFormat="0" applyBorder="0" applyAlignment="0" applyProtection="0"/>
    <xf numFmtId="0" fontId="53" fillId="33" borderId="0" applyNumberFormat="0" applyBorder="0" applyAlignment="0" applyProtection="0"/>
    <xf numFmtId="0" fontId="53" fillId="54" borderId="0" applyNumberFormat="0" applyBorder="0" applyAlignment="0" applyProtection="0"/>
    <xf numFmtId="0" fontId="53" fillId="57" borderId="0" applyNumberFormat="0" applyBorder="0" applyAlignment="0" applyProtection="0"/>
    <xf numFmtId="0" fontId="53" fillId="34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57" borderId="0" applyNumberFormat="0" applyBorder="0" applyAlignment="0" applyProtection="0"/>
    <xf numFmtId="0" fontId="53" fillId="61" borderId="0" applyNumberForma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4" fillId="62" borderId="0" applyNumberFormat="0" applyBorder="0" applyAlignment="0" applyProtection="0"/>
    <xf numFmtId="37" fontId="42" fillId="63" borderId="23">
      <alignment horizontal="left"/>
    </xf>
    <xf numFmtId="37" fontId="39" fillId="63" borderId="24"/>
    <xf numFmtId="0" fontId="15" fillId="63" borderId="22" applyNumberFormat="0" applyBorder="0"/>
    <xf numFmtId="0" fontId="15" fillId="63" borderId="22" applyNumberFormat="0" applyBorder="0"/>
    <xf numFmtId="0" fontId="15" fillId="63" borderId="22" applyNumberFormat="0" applyBorder="0"/>
    <xf numFmtId="0" fontId="55" fillId="51" borderId="25" applyNumberFormat="0" applyAlignment="0" applyProtection="0"/>
    <xf numFmtId="0" fontId="56" fillId="64" borderId="26" applyNumberFormat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2" fillId="65" borderId="0">
      <alignment vertical="top"/>
    </xf>
    <xf numFmtId="0" fontId="15" fillId="0" borderId="27">
      <alignment vertical="top"/>
    </xf>
    <xf numFmtId="0" fontId="15" fillId="50" borderId="19">
      <alignment vertical="top"/>
    </xf>
    <xf numFmtId="0" fontId="42" fillId="50" borderId="0">
      <alignment vertical="top"/>
    </xf>
    <xf numFmtId="0" fontId="15" fillId="66" borderId="0">
      <alignment vertical="top"/>
    </xf>
    <xf numFmtId="0" fontId="59" fillId="67" borderId="0" applyNumberFormat="0" applyBorder="0" applyAlignment="0" applyProtection="0"/>
    <xf numFmtId="0" fontId="60" fillId="63" borderId="28"/>
    <xf numFmtId="37" fontId="15" fillId="63" borderId="0">
      <alignment horizontal="right"/>
    </xf>
    <xf numFmtId="37" fontId="15" fillId="63" borderId="0">
      <alignment horizontal="right"/>
    </xf>
    <xf numFmtId="37" fontId="15" fillId="63" borderId="0">
      <alignment horizontal="right"/>
    </xf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34" borderId="25" applyNumberFormat="0" applyAlignment="0" applyProtection="0"/>
    <xf numFmtId="0" fontId="67" fillId="0" borderId="32" applyNumberFormat="0" applyFill="0" applyAlignment="0" applyProtection="0"/>
    <xf numFmtId="0" fontId="68" fillId="33" borderId="0" applyNumberFormat="0" applyBorder="0" applyAlignment="0" applyProtection="0"/>
    <xf numFmtId="0" fontId="69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7" fillId="0" borderId="0"/>
    <xf numFmtId="0" fontId="70" fillId="51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73" fillId="0" borderId="0" applyNumberFormat="0" applyFill="0" applyBorder="0" applyAlignment="0" applyProtection="0"/>
    <xf numFmtId="37" fontId="74" fillId="68" borderId="35"/>
    <xf numFmtId="0" fontId="75" fillId="0" borderId="36">
      <alignment horizontal="right"/>
    </xf>
    <xf numFmtId="0" fontId="15" fillId="0" borderId="0"/>
    <xf numFmtId="0" fontId="4" fillId="0" borderId="0"/>
    <xf numFmtId="0" fontId="15" fillId="50" borderId="37"/>
    <xf numFmtId="0" fontId="15" fillId="66" borderId="0"/>
    <xf numFmtId="0" fontId="15" fillId="66" borderId="0"/>
    <xf numFmtId="0" fontId="51" fillId="0" borderId="0"/>
    <xf numFmtId="0" fontId="22" fillId="41" borderId="37" applyNumberFormat="0" applyAlignment="0" applyProtection="0"/>
    <xf numFmtId="9" fontId="4" fillId="0" borderId="0" applyFont="0" applyFill="0" applyBorder="0" applyAlignment="0" applyProtection="0"/>
    <xf numFmtId="0" fontId="66" fillId="34" borderId="51" applyNumberFormat="0" applyAlignment="0" applyProtection="0"/>
    <xf numFmtId="0" fontId="13" fillId="35" borderId="45" applyNumberFormat="0" applyFont="0" applyAlignment="0" applyProtection="0"/>
    <xf numFmtId="0" fontId="4" fillId="37" borderId="45" applyNumberFormat="0" applyFont="0" applyAlignment="0" applyProtection="0"/>
    <xf numFmtId="0" fontId="13" fillId="35" borderId="50" applyNumberFormat="0" applyFont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2" fillId="0" borderId="0"/>
    <xf numFmtId="0" fontId="22" fillId="41" borderId="54" applyNumberFormat="0" applyAlignment="0" applyProtection="0"/>
    <xf numFmtId="0" fontId="55" fillId="51" borderId="46" applyNumberFormat="0" applyAlignment="0" applyProtection="0"/>
    <xf numFmtId="43" fontId="15" fillId="0" borderId="0" applyFont="0" applyFill="0" applyBorder="0" applyAlignment="0" applyProtection="0"/>
    <xf numFmtId="0" fontId="55" fillId="51" borderId="51" applyNumberFormat="0" applyAlignment="0" applyProtection="0"/>
    <xf numFmtId="0" fontId="24" fillId="0" borderId="49" applyNumberFormat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50" borderId="54"/>
    <xf numFmtId="0" fontId="72" fillId="0" borderId="53" applyNumberFormat="0" applyFill="0" applyAlignment="0" applyProtection="0"/>
    <xf numFmtId="0" fontId="15" fillId="50" borderId="10">
      <alignment vertical="top"/>
    </xf>
    <xf numFmtId="0" fontId="70" fillId="51" borderId="52" applyNumberFormat="0" applyAlignment="0" applyProtection="0"/>
    <xf numFmtId="164" fontId="7" fillId="0" borderId="49">
      <alignment horizontal="center"/>
    </xf>
    <xf numFmtId="0" fontId="66" fillId="34" borderId="46" applyNumberFormat="0" applyAlignment="0" applyProtection="0"/>
    <xf numFmtId="0" fontId="4" fillId="37" borderId="50" applyNumberFormat="0" applyFont="0" applyAlignment="0" applyProtection="0"/>
    <xf numFmtId="0" fontId="70" fillId="51" borderId="47" applyNumberFormat="0" applyAlignment="0" applyProtection="0"/>
    <xf numFmtId="0" fontId="72" fillId="0" borderId="48" applyNumberFormat="0" applyFill="0" applyAlignment="0" applyProtection="0"/>
    <xf numFmtId="0" fontId="15" fillId="50" borderId="49"/>
    <xf numFmtId="0" fontId="22" fillId="41" borderId="49" applyNumberFormat="0" applyAlignment="0" applyProtection="0"/>
  </cellStyleXfs>
  <cellXfs count="182">
    <xf numFmtId="0" fontId="0" fillId="0" borderId="0" xfId="0"/>
    <xf numFmtId="0" fontId="38" fillId="44" borderId="17" xfId="0" applyFont="1" applyFill="1" applyBorder="1" applyAlignment="1" applyProtection="1">
      <alignment horizontal="left" vertical="center"/>
    </xf>
    <xf numFmtId="0" fontId="12" fillId="0" borderId="0" xfId="45" applyFont="1"/>
    <xf numFmtId="0" fontId="34" fillId="0" borderId="0" xfId="0" applyFont="1"/>
    <xf numFmtId="1" fontId="39" fillId="0" borderId="17" xfId="0" applyNumberFormat="1" applyFont="1" applyFill="1" applyBorder="1" applyAlignment="1" applyProtection="1">
      <alignment horizontal="center"/>
    </xf>
    <xf numFmtId="1" fontId="40" fillId="43" borderId="17" xfId="0" applyNumberFormat="1" applyFont="1" applyFill="1" applyBorder="1" applyAlignment="1" applyProtection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/>
    <xf numFmtId="49" fontId="43" fillId="45" borderId="17" xfId="0" applyNumberFormat="1" applyFont="1" applyFill="1" applyBorder="1" applyAlignment="1">
      <alignment horizontal="right" vertical="center"/>
    </xf>
    <xf numFmtId="0" fontId="41" fillId="0" borderId="0" xfId="0" applyFont="1"/>
    <xf numFmtId="0" fontId="34" fillId="0" borderId="0" xfId="0" applyFont="1"/>
    <xf numFmtId="0" fontId="41" fillId="48" borderId="20" xfId="0" applyFont="1" applyFill="1" applyBorder="1"/>
    <xf numFmtId="0" fontId="41" fillId="48" borderId="21" xfId="0" applyFont="1" applyFill="1" applyBorder="1"/>
    <xf numFmtId="0" fontId="45" fillId="0" borderId="0" xfId="0" applyFont="1"/>
    <xf numFmtId="0" fontId="41" fillId="0" borderId="0" xfId="0" applyFont="1" applyAlignment="1">
      <alignment horizontal="center"/>
    </xf>
    <xf numFmtId="0" fontId="48" fillId="44" borderId="18" xfId="72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4" fillId="0" borderId="0" xfId="0" applyFont="1" applyBorder="1"/>
    <xf numFmtId="0" fontId="76" fillId="0" borderId="0" xfId="0" applyFont="1"/>
    <xf numFmtId="0" fontId="4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left" indent="2"/>
    </xf>
    <xf numFmtId="0" fontId="0" fillId="0" borderId="0" xfId="0" applyFont="1"/>
    <xf numFmtId="164" fontId="0" fillId="36" borderId="14" xfId="50" applyNumberFormat="1" applyFont="1"/>
    <xf numFmtId="0" fontId="43" fillId="45" borderId="17" xfId="0" applyFont="1" applyFill="1" applyBorder="1" applyAlignment="1">
      <alignment horizontal="left" vertical="center"/>
    </xf>
    <xf numFmtId="0" fontId="48" fillId="44" borderId="17" xfId="72" applyFont="1" applyFill="1" applyBorder="1" applyAlignment="1">
      <alignment horizontal="left" vertical="center"/>
    </xf>
    <xf numFmtId="166" fontId="43" fillId="45" borderId="17" xfId="0" applyNumberFormat="1" applyFont="1" applyFill="1" applyBorder="1" applyAlignment="1">
      <alignment horizontal="left" vertical="center"/>
    </xf>
    <xf numFmtId="0" fontId="76" fillId="0" borderId="0" xfId="0" applyFont="1" applyFill="1"/>
    <xf numFmtId="166" fontId="2" fillId="0" borderId="0" xfId="0" applyNumberFormat="1" applyFont="1" applyFill="1" applyBorder="1"/>
    <xf numFmtId="166" fontId="2" fillId="0" borderId="0" xfId="0" applyNumberFormat="1" applyFont="1"/>
    <xf numFmtId="165" fontId="15" fillId="33" borderId="14" xfId="46" applyNumberFormat="1" applyFont="1"/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8" fillId="0" borderId="0" xfId="72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0" xfId="45" applyFont="1" applyFill="1" applyBorder="1"/>
    <xf numFmtId="0" fontId="77" fillId="44" borderId="17" xfId="0" applyFont="1" applyFill="1" applyBorder="1" applyAlignment="1" applyProtection="1">
      <alignment horizontal="left" vertical="center"/>
    </xf>
    <xf numFmtId="0" fontId="78" fillId="0" borderId="0" xfId="0" applyFont="1"/>
    <xf numFmtId="0" fontId="80" fillId="48" borderId="21" xfId="0" applyFont="1" applyFill="1" applyBorder="1"/>
    <xf numFmtId="0" fontId="81" fillId="0" borderId="0" xfId="0" applyFont="1"/>
    <xf numFmtId="0" fontId="0" fillId="0" borderId="0" xfId="0" applyNumberFormat="1"/>
    <xf numFmtId="0" fontId="15" fillId="0" borderId="0" xfId="159" applyFont="1"/>
    <xf numFmtId="0" fontId="50" fillId="0" borderId="0" xfId="159" applyFont="1"/>
    <xf numFmtId="0" fontId="50" fillId="49" borderId="21" xfId="159" applyFont="1" applyFill="1" applyBorder="1"/>
    <xf numFmtId="0" fontId="15" fillId="49" borderId="21" xfId="159" applyFont="1" applyFill="1" applyBorder="1"/>
    <xf numFmtId="0" fontId="15" fillId="49" borderId="21" xfId="159" applyFont="1" applyFill="1" applyBorder="1" applyAlignment="1"/>
    <xf numFmtId="0" fontId="42" fillId="49" borderId="21" xfId="159" applyFont="1" applyFill="1" applyBorder="1"/>
    <xf numFmtId="0" fontId="15" fillId="0" borderId="0" xfId="159" applyFont="1" applyFill="1" applyBorder="1" applyAlignment="1" applyProtection="1">
      <alignment vertical="center"/>
    </xf>
    <xf numFmtId="0" fontId="50" fillId="0" borderId="0" xfId="159" applyFont="1" applyFill="1" applyBorder="1" applyAlignment="1" applyProtection="1">
      <alignment vertical="center"/>
    </xf>
    <xf numFmtId="167" fontId="15" fillId="0" borderId="0" xfId="159" applyNumberFormat="1" applyFont="1" applyFill="1" applyBorder="1" applyAlignment="1" applyProtection="1">
      <alignment horizontal="right" vertical="center"/>
    </xf>
    <xf numFmtId="10" fontId="15" fillId="0" borderId="0" xfId="152" applyNumberFormat="1" applyFont="1" applyFill="1" applyAlignment="1" applyProtection="1">
      <alignment vertical="center"/>
    </xf>
    <xf numFmtId="0" fontId="15" fillId="0" borderId="0" xfId="159" applyFont="1" applyFill="1" applyAlignment="1" applyProtection="1">
      <alignment vertical="center"/>
    </xf>
    <xf numFmtId="0" fontId="15" fillId="0" borderId="0" xfId="159" applyFont="1" applyFill="1" applyBorder="1" applyAlignment="1" applyProtection="1">
      <alignment horizontal="left" vertical="center" indent="1"/>
    </xf>
    <xf numFmtId="167" fontId="15" fillId="0" borderId="0" xfId="159" applyNumberFormat="1" applyFont="1" applyFill="1" applyBorder="1" applyAlignment="1" applyProtection="1">
      <alignment horizontal="left" vertical="center"/>
    </xf>
    <xf numFmtId="167" fontId="15" fillId="47" borderId="37" xfId="159" applyNumberFormat="1" applyFont="1" applyFill="1" applyBorder="1" applyAlignment="1" applyProtection="1">
      <alignment horizontal="right" vertical="center"/>
      <protection locked="0"/>
    </xf>
    <xf numFmtId="0" fontId="15" fillId="0" borderId="0" xfId="160" applyFont="1" applyFill="1" applyBorder="1" applyAlignment="1" applyProtection="1">
      <alignment horizontal="left" vertical="center" indent="1"/>
    </xf>
    <xf numFmtId="1" fontId="42" fillId="0" borderId="0" xfId="152" applyNumberFormat="1" applyFont="1" applyFill="1" applyAlignment="1" applyProtection="1">
      <alignment vertical="center"/>
    </xf>
    <xf numFmtId="0" fontId="42" fillId="0" borderId="0" xfId="160" applyFont="1" applyFill="1" applyBorder="1" applyAlignment="1" applyProtection="1">
      <alignment vertical="center"/>
    </xf>
    <xf numFmtId="168" fontId="15" fillId="0" borderId="38" xfId="159" applyNumberFormat="1" applyFont="1" applyFill="1" applyBorder="1" applyAlignment="1">
      <alignment horizontal="right" vertical="center"/>
    </xf>
    <xf numFmtId="166" fontId="15" fillId="0" borderId="38" xfId="159" applyNumberFormat="1" applyFont="1" applyFill="1" applyBorder="1" applyAlignment="1">
      <alignment horizontal="right" vertical="center"/>
    </xf>
    <xf numFmtId="0" fontId="15" fillId="0" borderId="0" xfId="159" applyFont="1" applyFill="1" applyAlignment="1">
      <alignment horizontal="left" vertical="center" indent="1"/>
    </xf>
    <xf numFmtId="0" fontId="15" fillId="0" borderId="0" xfId="159" applyFont="1" applyFill="1" applyAlignment="1">
      <alignment shrinkToFit="1"/>
    </xf>
    <xf numFmtId="0" fontId="15" fillId="0" borderId="0" xfId="159" applyFont="1" applyFill="1" applyBorder="1" applyAlignment="1">
      <alignment horizontal="left" vertical="center"/>
    </xf>
    <xf numFmtId="168" fontId="15" fillId="0" borderId="0" xfId="159" applyNumberFormat="1" applyFont="1" applyAlignment="1">
      <alignment horizontal="right"/>
    </xf>
    <xf numFmtId="164" fontId="15" fillId="46" borderId="37" xfId="159" applyNumberFormat="1" applyFont="1" applyFill="1" applyBorder="1" applyAlignment="1">
      <alignment horizontal="right" vertical="center"/>
    </xf>
    <xf numFmtId="165" fontId="15" fillId="69" borderId="37" xfId="159" applyNumberFormat="1" applyFont="1" applyFill="1" applyBorder="1" applyAlignment="1">
      <alignment horizontal="right"/>
    </xf>
    <xf numFmtId="0" fontId="15" fillId="0" borderId="0" xfId="159" applyFont="1" applyFill="1" applyAlignment="1" applyProtection="1">
      <alignment horizontal="right" vertical="center"/>
    </xf>
    <xf numFmtId="0" fontId="42" fillId="0" borderId="0" xfId="159" applyFont="1" applyFill="1" applyBorder="1" applyAlignment="1" applyProtection="1">
      <alignment horizontal="left" vertical="center"/>
    </xf>
    <xf numFmtId="0" fontId="15" fillId="0" borderId="0" xfId="159" applyFont="1" applyFill="1" applyBorder="1" applyAlignment="1" applyProtection="1">
      <alignment horizontal="left" vertical="center"/>
    </xf>
    <xf numFmtId="10" fontId="15" fillId="0" borderId="0" xfId="152" applyNumberFormat="1" applyFont="1" applyFill="1" applyBorder="1" applyAlignment="1" applyProtection="1">
      <alignment vertical="center"/>
    </xf>
    <xf numFmtId="10" fontId="50" fillId="0" borderId="0" xfId="152" applyNumberFormat="1" applyFont="1" applyFill="1" applyBorder="1" applyAlignment="1" applyProtection="1">
      <alignment vertical="center"/>
    </xf>
    <xf numFmtId="167" fontId="15" fillId="0" borderId="0" xfId="152" applyNumberFormat="1" applyFont="1" applyFill="1" applyBorder="1" applyAlignment="1" applyProtection="1">
      <alignment horizontal="center"/>
    </xf>
    <xf numFmtId="10" fontId="15" fillId="0" borderId="0" xfId="152" applyNumberFormat="1" applyFont="1" applyFill="1" applyBorder="1" applyAlignment="1" applyProtection="1">
      <alignment horizontal="left" vertical="center"/>
    </xf>
    <xf numFmtId="167" fontId="15" fillId="0" borderId="0" xfId="152" applyNumberFormat="1" applyFont="1" applyFill="1" applyBorder="1" applyProtection="1"/>
    <xf numFmtId="167" fontId="15" fillId="47" borderId="37" xfId="152" applyNumberFormat="1" applyFont="1" applyFill="1" applyBorder="1" applyProtection="1"/>
    <xf numFmtId="168" fontId="15" fillId="47" borderId="37" xfId="159" applyNumberFormat="1" applyFont="1" applyFill="1" applyBorder="1" applyAlignment="1" applyProtection="1">
      <alignment horizontal="right" vertical="center"/>
    </xf>
    <xf numFmtId="0" fontId="43" fillId="45" borderId="17" xfId="160" applyFont="1" applyFill="1" applyBorder="1" applyAlignment="1">
      <alignment horizontal="left" vertical="center"/>
    </xf>
    <xf numFmtId="0" fontId="44" fillId="45" borderId="17" xfId="160" applyFont="1" applyFill="1" applyBorder="1" applyAlignment="1">
      <alignment horizontal="left" vertical="center"/>
    </xf>
    <xf numFmtId="49" fontId="43" fillId="45" borderId="17" xfId="160" applyNumberFormat="1" applyFont="1" applyFill="1" applyBorder="1" applyAlignment="1">
      <alignment horizontal="right" vertical="center"/>
    </xf>
    <xf numFmtId="49" fontId="43" fillId="45" borderId="39" xfId="160" applyNumberFormat="1" applyFont="1" applyFill="1" applyBorder="1" applyAlignment="1">
      <alignment horizontal="right" vertical="center"/>
    </xf>
    <xf numFmtId="164" fontId="15" fillId="46" borderId="37" xfId="160" applyNumberFormat="1" applyFont="1" applyFill="1" applyBorder="1" applyAlignment="1">
      <alignment horizontal="right" vertical="center"/>
    </xf>
    <xf numFmtId="0" fontId="2" fillId="0" borderId="0" xfId="160" applyFont="1"/>
    <xf numFmtId="1" fontId="15" fillId="0" borderId="0" xfId="152" applyNumberFormat="1" applyFont="1" applyFill="1" applyBorder="1" applyAlignment="1" applyProtection="1">
      <alignment vertical="center"/>
    </xf>
    <xf numFmtId="1" fontId="50" fillId="0" borderId="0" xfId="152" applyNumberFormat="1" applyFont="1" applyFill="1" applyBorder="1" applyAlignment="1" applyProtection="1">
      <alignment vertical="center"/>
    </xf>
    <xf numFmtId="0" fontId="41" fillId="0" borderId="0" xfId="160" applyFont="1" applyAlignment="1">
      <alignment horizontal="center"/>
    </xf>
    <xf numFmtId="1" fontId="15" fillId="0" borderId="0" xfId="152" applyNumberFormat="1" applyFont="1" applyFill="1" applyAlignment="1" applyProtection="1">
      <alignment vertical="center"/>
    </xf>
    <xf numFmtId="1" fontId="15" fillId="0" borderId="0" xfId="152" applyNumberFormat="1" applyFont="1" applyFill="1" applyBorder="1" applyAlignment="1" applyProtection="1">
      <alignment horizontal="left" vertical="center"/>
    </xf>
    <xf numFmtId="1" fontId="15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right" vertical="center"/>
      <protection hidden="1"/>
    </xf>
    <xf numFmtId="0" fontId="42" fillId="0" borderId="0" xfId="159" applyFont="1" applyFill="1" applyAlignment="1">
      <alignment horizontal="left" vertical="center"/>
    </xf>
    <xf numFmtId="1" fontId="42" fillId="0" borderId="0" xfId="159" applyNumberFormat="1" applyFont="1" applyFill="1" applyBorder="1" applyAlignment="1" applyProtection="1">
      <alignment horizontal="right" vertical="center"/>
      <protection hidden="1"/>
    </xf>
    <xf numFmtId="1" fontId="50" fillId="0" borderId="0" xfId="159" applyNumberFormat="1" applyFont="1" applyFill="1" applyBorder="1" applyAlignment="1" applyProtection="1">
      <alignment horizontal="left" vertical="center"/>
      <protection hidden="1"/>
    </xf>
    <xf numFmtId="1" fontId="39" fillId="0" borderId="17" xfId="160" applyNumberFormat="1" applyFont="1" applyFill="1" applyBorder="1" applyAlignment="1" applyProtection="1">
      <alignment horizontal="center"/>
    </xf>
    <xf numFmtId="1" fontId="40" fillId="43" borderId="17" xfId="160" applyNumberFormat="1" applyFont="1" applyFill="1" applyBorder="1" applyAlignment="1" applyProtection="1">
      <alignment horizontal="center"/>
    </xf>
    <xf numFmtId="1" fontId="44" fillId="0" borderId="0" xfId="159" applyNumberFormat="1" applyFont="1" applyFill="1" applyBorder="1" applyAlignment="1" applyProtection="1">
      <alignment horizontal="left" vertical="center"/>
    </xf>
    <xf numFmtId="0" fontId="15" fillId="0" borderId="0" xfId="159" applyNumberFormat="1" applyFont="1" applyFill="1" applyBorder="1" applyAlignment="1">
      <alignment vertical="center"/>
    </xf>
    <xf numFmtId="0" fontId="15" fillId="0" borderId="0" xfId="159" applyNumberFormat="1" applyFont="1" applyFill="1" applyBorder="1" applyAlignment="1">
      <alignment horizontal="center" vertical="center" shrinkToFit="1"/>
    </xf>
    <xf numFmtId="0" fontId="15" fillId="0" borderId="0" xfId="159" applyNumberFormat="1" applyFont="1" applyFill="1" applyBorder="1" applyAlignment="1">
      <alignment vertical="center" shrinkToFit="1"/>
    </xf>
    <xf numFmtId="0" fontId="15" fillId="0" borderId="0" xfId="159" applyFont="1" applyFill="1" applyBorder="1"/>
    <xf numFmtId="0" fontId="15" fillId="0" borderId="0" xfId="159" applyFont="1" applyFill="1"/>
    <xf numFmtId="0" fontId="15" fillId="0" borderId="0" xfId="159" applyFont="1" applyFill="1" applyBorder="1" applyAlignment="1">
      <alignment horizontal="right" vertical="center"/>
    </xf>
    <xf numFmtId="0" fontId="15" fillId="0" borderId="0" xfId="159" applyFont="1" applyFill="1" applyBorder="1" applyAlignment="1">
      <alignment horizontal="left" vertical="center" shrinkToFit="1"/>
    </xf>
    <xf numFmtId="1" fontId="49" fillId="44" borderId="17" xfId="159" applyNumberFormat="1" applyFont="1" applyFill="1" applyBorder="1" applyAlignment="1">
      <alignment horizontal="left" vertical="center"/>
    </xf>
    <xf numFmtId="0" fontId="18" fillId="44" borderId="0" xfId="159" applyNumberFormat="1" applyFont="1" applyFill="1" applyBorder="1" applyAlignment="1">
      <alignment vertical="center"/>
    </xf>
    <xf numFmtId="0" fontId="46" fillId="44" borderId="17" xfId="159" applyFont="1" applyFill="1" applyBorder="1" applyAlignment="1">
      <alignment horizontal="right" vertical="center"/>
    </xf>
    <xf numFmtId="0" fontId="46" fillId="44" borderId="0" xfId="159" applyFont="1" applyFill="1" applyBorder="1" applyAlignment="1">
      <alignment horizontal="right" vertical="center"/>
    </xf>
    <xf numFmtId="0" fontId="48" fillId="44" borderId="17" xfId="159" applyFont="1" applyFill="1" applyBorder="1" applyAlignment="1">
      <alignment horizontal="left" vertical="center"/>
    </xf>
    <xf numFmtId="49" fontId="47" fillId="44" borderId="17" xfId="159" applyNumberFormat="1" applyFont="1" applyFill="1" applyBorder="1" applyAlignment="1"/>
    <xf numFmtId="0" fontId="46" fillId="44" borderId="17" xfId="159" applyFont="1" applyFill="1" applyBorder="1" applyAlignment="1">
      <alignment vertical="center"/>
    </xf>
    <xf numFmtId="0" fontId="0" fillId="0" borderId="0" xfId="0" applyAlignment="1">
      <alignment horizontal="left" vertical="top"/>
    </xf>
    <xf numFmtId="164" fontId="0" fillId="70" borderId="14" xfId="50" applyNumberFormat="1" applyFont="1" applyFill="1"/>
    <xf numFmtId="0" fontId="2" fillId="0" borderId="40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83" fillId="0" borderId="4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50" borderId="0" xfId="0" applyFill="1"/>
    <xf numFmtId="166" fontId="2" fillId="0" borderId="0" xfId="0" applyNumberFormat="1" applyFont="1" applyFill="1"/>
    <xf numFmtId="0" fontId="2" fillId="33" borderId="14" xfId="46" applyNumberFormat="1" applyFont="1"/>
    <xf numFmtId="166" fontId="15" fillId="47" borderId="14" xfId="46" applyNumberFormat="1" applyFont="1" applyFill="1"/>
    <xf numFmtId="166" fontId="15" fillId="33" borderId="14" xfId="46" applyNumberFormat="1" applyFont="1"/>
    <xf numFmtId="169" fontId="15" fillId="33" borderId="14" xfId="166" applyNumberFormat="1" applyFont="1" applyFill="1" applyBorder="1"/>
    <xf numFmtId="168" fontId="15" fillId="0" borderId="0" xfId="159" applyNumberFormat="1" applyFont="1" applyFill="1" applyAlignment="1">
      <alignment horizontal="right"/>
    </xf>
    <xf numFmtId="0" fontId="84" fillId="0" borderId="0" xfId="0" applyFont="1"/>
    <xf numFmtId="0" fontId="82" fillId="44" borderId="17" xfId="72" applyFont="1" applyFill="1" applyBorder="1" applyAlignment="1">
      <alignment horizontal="left" vertical="center"/>
    </xf>
    <xf numFmtId="164" fontId="15" fillId="46" borderId="37" xfId="0" applyNumberFormat="1" applyFont="1" applyFill="1" applyBorder="1" applyAlignment="1">
      <alignment horizontal="right" vertical="center"/>
    </xf>
    <xf numFmtId="49" fontId="43" fillId="45" borderId="39" xfId="0" applyNumberFormat="1" applyFont="1" applyFill="1" applyBorder="1" applyAlignment="1">
      <alignment horizontal="right" vertical="center"/>
    </xf>
    <xf numFmtId="0" fontId="44" fillId="45" borderId="17" xfId="0" applyFont="1" applyFill="1" applyBorder="1" applyAlignment="1">
      <alignment horizontal="left" vertical="center"/>
    </xf>
    <xf numFmtId="0" fontId="79" fillId="45" borderId="17" xfId="0" applyFont="1" applyFill="1" applyBorder="1" applyAlignment="1">
      <alignment horizontal="left" vertical="center"/>
    </xf>
    <xf numFmtId="167" fontId="2" fillId="47" borderId="14" xfId="46" applyNumberFormat="1" applyFont="1" applyFill="1"/>
    <xf numFmtId="0" fontId="43" fillId="45" borderId="17" xfId="0" applyFont="1" applyFill="1" applyBorder="1" applyAlignment="1">
      <alignment horizontal="center" vertical="center"/>
    </xf>
    <xf numFmtId="9" fontId="2" fillId="0" borderId="0" xfId="166" applyFont="1"/>
    <xf numFmtId="0" fontId="2" fillId="0" borderId="0" xfId="0" applyFont="1" applyFill="1"/>
    <xf numFmtId="166" fontId="2" fillId="0" borderId="0" xfId="0" applyNumberFormat="1" applyFont="1" applyBorder="1"/>
    <xf numFmtId="167" fontId="2" fillId="0" borderId="0" xfId="0" applyNumberFormat="1" applyFont="1" applyFill="1"/>
    <xf numFmtId="0" fontId="2" fillId="0" borderId="0" xfId="0" applyFont="1" applyBorder="1"/>
    <xf numFmtId="0" fontId="2" fillId="0" borderId="37" xfId="0" applyFont="1" applyFill="1" applyBorder="1"/>
    <xf numFmtId="0" fontId="2" fillId="0" borderId="37" xfId="0" applyNumberFormat="1" applyFont="1" applyFill="1" applyBorder="1"/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78" fillId="0" borderId="0" xfId="0" applyFont="1" applyFill="1"/>
    <xf numFmtId="0" fontId="15" fillId="0" borderId="0" xfId="0" applyFont="1"/>
    <xf numFmtId="0" fontId="29" fillId="0" borderId="0" xfId="0" applyFont="1"/>
    <xf numFmtId="169" fontId="2" fillId="0" borderId="0" xfId="166" applyNumberFormat="1" applyFont="1" applyFill="1" applyBorder="1"/>
    <xf numFmtId="0" fontId="0" fillId="0" borderId="0" xfId="0" applyFont="1" applyFill="1"/>
    <xf numFmtId="0" fontId="0" fillId="0" borderId="0" xfId="0" applyFill="1"/>
    <xf numFmtId="0" fontId="2" fillId="0" borderId="39" xfId="0" applyFont="1" applyFill="1" applyBorder="1" applyAlignment="1">
      <alignment horizontal="left" vertical="top"/>
    </xf>
    <xf numFmtId="0" fontId="2" fillId="0" borderId="44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 wrapText="1"/>
    </xf>
    <xf numFmtId="10" fontId="15" fillId="0" borderId="0" xfId="152" applyNumberFormat="1" applyFont="1" applyFill="1" applyAlignment="1" applyProtection="1">
      <alignment vertical="center" wrapText="1"/>
    </xf>
    <xf numFmtId="167" fontId="15" fillId="0" borderId="0" xfId="159" applyNumberFormat="1" applyFont="1" applyFill="1" applyBorder="1" applyAlignment="1" applyProtection="1">
      <alignment horizontal="right" vertical="center"/>
      <protection locked="0"/>
    </xf>
    <xf numFmtId="10" fontId="15" fillId="0" borderId="0" xfId="159" applyNumberFormat="1" applyFont="1" applyFill="1" applyAlignment="1">
      <alignment shrinkToFit="1"/>
    </xf>
    <xf numFmtId="10" fontId="15" fillId="0" borderId="0" xfId="159" applyNumberFormat="1" applyFont="1" applyFill="1" applyAlignment="1">
      <alignment horizontal="left" vertical="center"/>
    </xf>
    <xf numFmtId="0" fontId="50" fillId="0" borderId="0" xfId="159" applyFont="1" applyFill="1"/>
    <xf numFmtId="0" fontId="41" fillId="0" borderId="0" xfId="0" applyFont="1" applyFill="1" applyAlignment="1">
      <alignment horizontal="left" indent="1"/>
    </xf>
    <xf numFmtId="166" fontId="2" fillId="71" borderId="0" xfId="0" applyNumberFormat="1" applyFont="1" applyFill="1"/>
    <xf numFmtId="166" fontId="2" fillId="71" borderId="0" xfId="0" applyNumberFormat="1" applyFont="1" applyFill="1" applyBorder="1"/>
    <xf numFmtId="0" fontId="2" fillId="71" borderId="44" xfId="0" applyFont="1" applyFill="1" applyBorder="1" applyAlignment="1">
      <alignment horizontal="left" vertical="top"/>
    </xf>
    <xf numFmtId="0" fontId="2" fillId="71" borderId="44" xfId="0" applyFont="1" applyFill="1" applyBorder="1" applyAlignment="1">
      <alignment horizontal="left" vertical="top" wrapText="1"/>
    </xf>
    <xf numFmtId="0" fontId="2" fillId="72" borderId="40" xfId="0" applyFont="1" applyFill="1" applyBorder="1" applyAlignment="1">
      <alignment horizontal="left" vertical="top"/>
    </xf>
    <xf numFmtId="0" fontId="2" fillId="72" borderId="40" xfId="0" applyFont="1" applyFill="1" applyBorder="1" applyAlignment="1">
      <alignment horizontal="left" vertical="top" wrapText="1"/>
    </xf>
    <xf numFmtId="0" fontId="2" fillId="72" borderId="0" xfId="0" applyFont="1" applyFill="1" applyAlignment="1">
      <alignment horizontal="left" indent="1"/>
    </xf>
    <xf numFmtId="166" fontId="2" fillId="72" borderId="0" xfId="0" applyNumberFormat="1" applyFont="1" applyFill="1" applyBorder="1"/>
    <xf numFmtId="169" fontId="2" fillId="72" borderId="0" xfId="166" applyNumberFormat="1" applyFont="1" applyFill="1" applyBorder="1"/>
    <xf numFmtId="17" fontId="2" fillId="0" borderId="0" xfId="0" applyNumberFormat="1" applyFont="1"/>
    <xf numFmtId="165" fontId="15" fillId="33" borderId="14" xfId="46" applyNumberFormat="1" applyFont="1"/>
    <xf numFmtId="170" fontId="2" fillId="0" borderId="0" xfId="0" applyNumberFormat="1" applyFont="1"/>
    <xf numFmtId="171" fontId="34" fillId="0" borderId="0" xfId="0" applyNumberFormat="1" applyFont="1"/>
    <xf numFmtId="171" fontId="2" fillId="0" borderId="0" xfId="0" applyNumberFormat="1" applyFont="1"/>
    <xf numFmtId="170" fontId="34" fillId="0" borderId="0" xfId="0" applyNumberFormat="1" applyFont="1"/>
    <xf numFmtId="171" fontId="34" fillId="0" borderId="0" xfId="0" applyNumberFormat="1" applyFont="1" applyFill="1"/>
  </cellXfs>
  <cellStyles count="195">
    <cellStyle name="%" xfId="74"/>
    <cellStyle name="]_x000d__x000a_Zoomed=1_x000d__x000a_Row=0_x000d__x000a_Column=0_x000d__x000a_Height=0_x000d__x000a_Width=0_x000d__x000a_FontName=FoxFont_x000d__x000a_FontStyle=0_x000d__x000a_FontSize=9_x000d__x000a_PrtFontName=FoxPrin" xfId="84"/>
    <cellStyle name="20% - Accent1" xfId="17" builtinId="30" customBuiltin="1"/>
    <cellStyle name="20% - Accent1 2" xfId="85"/>
    <cellStyle name="20% - Accent2" xfId="21" builtinId="34" customBuiltin="1"/>
    <cellStyle name="20% - Accent2 2" xfId="86"/>
    <cellStyle name="20% - Accent3" xfId="25" builtinId="38" customBuiltin="1"/>
    <cellStyle name="20% - Accent3 2" xfId="87"/>
    <cellStyle name="20% - Accent4" xfId="29" builtinId="42" customBuiltin="1"/>
    <cellStyle name="20% - Accent4 2" xfId="88"/>
    <cellStyle name="20% - Accent5" xfId="33" builtinId="46" customBuiltin="1"/>
    <cellStyle name="20% - Accent5 2" xfId="89"/>
    <cellStyle name="20% - Accent6" xfId="37" builtinId="50" customBuiltin="1"/>
    <cellStyle name="20% - Accent6 2" xfId="90"/>
    <cellStyle name="40% - Accent1" xfId="18" builtinId="31" customBuiltin="1"/>
    <cellStyle name="40% - Accent1 2" xfId="91"/>
    <cellStyle name="40% - Accent2" xfId="22" builtinId="35" customBuiltin="1"/>
    <cellStyle name="40% - Accent2 2" xfId="92"/>
    <cellStyle name="40% - Accent3" xfId="26" builtinId="39" customBuiltin="1"/>
    <cellStyle name="40% - Accent3 2" xfId="93"/>
    <cellStyle name="40% - Accent4" xfId="30" builtinId="43" customBuiltin="1"/>
    <cellStyle name="40% - Accent4 2" xfId="94"/>
    <cellStyle name="40% - Accent5" xfId="34" builtinId="47" customBuiltin="1"/>
    <cellStyle name="40% - Accent5 2" xfId="95"/>
    <cellStyle name="40% - Accent6" xfId="38" builtinId="51" customBuiltin="1"/>
    <cellStyle name="40% - Accent6 2" xfId="96"/>
    <cellStyle name="60% - Accent1" xfId="19" builtinId="32" customBuiltin="1"/>
    <cellStyle name="60% - Accent1 2" xfId="97"/>
    <cellStyle name="60% - Accent2" xfId="23" builtinId="36" customBuiltin="1"/>
    <cellStyle name="60% - Accent2 2" xfId="98"/>
    <cellStyle name="60% - Accent3" xfId="27" builtinId="40" customBuiltin="1"/>
    <cellStyle name="60% - Accent3 2" xfId="99"/>
    <cellStyle name="60% - Accent4" xfId="31" builtinId="44" customBuiltin="1"/>
    <cellStyle name="60% - Accent4 2" xfId="100"/>
    <cellStyle name="60% - Accent5" xfId="35" builtinId="48" customBuiltin="1"/>
    <cellStyle name="60% - Accent5 2" xfId="101"/>
    <cellStyle name="60% - Accent6" xfId="39" builtinId="52" customBuiltin="1"/>
    <cellStyle name="60% - Accent6 2" xfId="102"/>
    <cellStyle name="Accent1" xfId="16" builtinId="29" customBuiltin="1"/>
    <cellStyle name="Accent1 2" xfId="103"/>
    <cellStyle name="Accent2" xfId="20" builtinId="33" customBuiltin="1"/>
    <cellStyle name="Accent2 2" xfId="104"/>
    <cellStyle name="Accent3" xfId="24" builtinId="37" customBuiltin="1"/>
    <cellStyle name="Accent3 2" xfId="105"/>
    <cellStyle name="Accent4" xfId="28" builtinId="41" customBuiltin="1"/>
    <cellStyle name="Accent4 2" xfId="106"/>
    <cellStyle name="Accent5" xfId="32" builtinId="45" customBuiltin="1"/>
    <cellStyle name="Accent5 2" xfId="107"/>
    <cellStyle name="Accent6" xfId="36" builtinId="49" customBuiltin="1"/>
    <cellStyle name="Accent6 2" xfId="108"/>
    <cellStyle name="Att1" xfId="109"/>
    <cellStyle name="Att1 2" xfId="110"/>
    <cellStyle name="Att1 3" xfId="111"/>
    <cellStyle name="Bad" xfId="6" builtinId="27" customBuiltin="1"/>
    <cellStyle name="Bad 2" xfId="112"/>
    <cellStyle name="BM CheckSum" xfId="40"/>
    <cellStyle name="BM CheckSum 2" xfId="188"/>
    <cellStyle name="BM Header Main" xfId="41"/>
    <cellStyle name="BM Header Secondary" xfId="42"/>
    <cellStyle name="BM Heading 1" xfId="43"/>
    <cellStyle name="BM Heading 2" xfId="44"/>
    <cellStyle name="BM Heading 3" xfId="45"/>
    <cellStyle name="BM Input" xfId="46"/>
    <cellStyle name="BM Input External Link" xfId="47"/>
    <cellStyle name="BM Input Modeller" xfId="48"/>
    <cellStyle name="BM Input Modeller 2" xfId="168"/>
    <cellStyle name="BM Input Modeller 3" xfId="170"/>
    <cellStyle name="BM Label" xfId="49"/>
    <cellStyle name="BM Modellers Input" xfId="50"/>
    <cellStyle name="BM UF" xfId="51"/>
    <cellStyle name="BM UF 2" xfId="169"/>
    <cellStyle name="BM UF 3" xfId="190"/>
    <cellStyle name="BMNumber" xfId="52"/>
    <cellStyle name="BMRangeName" xfId="53"/>
    <cellStyle name="bold_text" xfId="113"/>
    <cellStyle name="boldbluetxt_green" xfId="114"/>
    <cellStyle name="box" xfId="115"/>
    <cellStyle name="box 2" xfId="116"/>
    <cellStyle name="box 3" xfId="117"/>
    <cellStyle name="Brand Align Left Text" xfId="54"/>
    <cellStyle name="Brand Default" xfId="55"/>
    <cellStyle name="Brand Percent" xfId="56"/>
    <cellStyle name="Brand Source" xfId="57"/>
    <cellStyle name="Brand Subtitle with Underline" xfId="58"/>
    <cellStyle name="Brand Subtitle without Underline" xfId="59"/>
    <cellStyle name="Brand Title" xfId="60"/>
    <cellStyle name="Calculation" xfId="10" builtinId="22" customBuiltin="1"/>
    <cellStyle name="Calculation 2" xfId="118"/>
    <cellStyle name="Calculation 2 2" xfId="178"/>
    <cellStyle name="Calculation 2 3" xfId="180"/>
    <cellStyle name="Check Cell" xfId="12" builtinId="23" customBuiltin="1"/>
    <cellStyle name="Check Cell 2" xfId="119"/>
    <cellStyle name="Comma 2" xfId="75"/>
    <cellStyle name="Comma 3" xfId="76"/>
    <cellStyle name="Comma 3 2" xfId="120"/>
    <cellStyle name="Comma 3 2 2" xfId="121"/>
    <cellStyle name="Comma 3 2 3" xfId="179"/>
    <cellStyle name="Comma 3 3" xfId="122"/>
    <cellStyle name="Comma 3 4" xfId="174"/>
    <cellStyle name="Comma 4" xfId="123"/>
    <cellStyle name="Comma 5" xfId="77"/>
    <cellStyle name="Comma 5 2" xfId="175"/>
    <cellStyle name="Comma 6" xfId="124"/>
    <cellStyle name="Comma 6 2" xfId="182"/>
    <cellStyle name="Comma 7" xfId="125"/>
    <cellStyle name="Comma 7 2" xfId="183"/>
    <cellStyle name="Error" xfId="61"/>
    <cellStyle name="Explanatory Text" xfId="14" builtinId="53" customBuiltin="1"/>
    <cellStyle name="Explanatory Text 2" xfId="126"/>
    <cellStyle name="False" xfId="62"/>
    <cellStyle name="False 2" xfId="181"/>
    <cellStyle name="Fountain Col Header" xfId="127"/>
    <cellStyle name="Fountain Error" xfId="128"/>
    <cellStyle name="Fountain Input" xfId="129"/>
    <cellStyle name="Fountain Input 2" xfId="161"/>
    <cellStyle name="Fountain Input 2 2" xfId="193"/>
    <cellStyle name="Fountain Input 2 3" xfId="184"/>
    <cellStyle name="Fountain Input 3" xfId="186"/>
    <cellStyle name="Fountain Table Header" xfId="130"/>
    <cellStyle name="Fountain Text" xfId="131"/>
    <cellStyle name="Fountain Text 2" xfId="162"/>
    <cellStyle name="Fountain Text 4" xfId="163"/>
    <cellStyle name="Good" xfId="5" builtinId="26" customBuiltin="1"/>
    <cellStyle name="Good 2" xfId="132"/>
    <cellStyle name="Header" xfId="133"/>
    <cellStyle name="Header3rdlevel" xfId="134"/>
    <cellStyle name="Header3rdlevel 2" xfId="135"/>
    <cellStyle name="Header3rdlevel 3" xfId="136"/>
    <cellStyle name="Heading 1" xfId="1" builtinId="16" customBuiltin="1"/>
    <cellStyle name="Heading 1 2" xfId="137"/>
    <cellStyle name="Heading 2" xfId="2" builtinId="17" customBuiltin="1"/>
    <cellStyle name="Heading 2 2" xfId="138"/>
    <cellStyle name="Heading 3" xfId="3" builtinId="18" customBuiltin="1"/>
    <cellStyle name="Heading 3 2" xfId="139"/>
    <cellStyle name="Heading 4" xfId="4" builtinId="19" customBuiltin="1"/>
    <cellStyle name="Heading 4 2" xfId="140"/>
    <cellStyle name="Hyperlink 2" xfId="141"/>
    <cellStyle name="Hyperlink 3" xfId="142"/>
    <cellStyle name="In Development" xfId="63"/>
    <cellStyle name="Input" xfId="8" builtinId="20" customBuiltin="1"/>
    <cellStyle name="Input 2" xfId="143"/>
    <cellStyle name="Input 2 2" xfId="189"/>
    <cellStyle name="Input 2 3" xfId="167"/>
    <cellStyle name="Linked Cell" xfId="11" builtinId="24" customBuiltin="1"/>
    <cellStyle name="Linked Cell 2" xfId="144"/>
    <cellStyle name="Neutral" xfId="7" builtinId="28" customBuiltin="1"/>
    <cellStyle name="Neutral 2" xfId="145"/>
    <cellStyle name="NJS" xfId="146"/>
    <cellStyle name="No Error" xfId="64"/>
    <cellStyle name="Normal" xfId="0" builtinId="0" customBuiltin="1"/>
    <cellStyle name="Normal 2" xfId="65"/>
    <cellStyle name="Normal 2 2" xfId="66"/>
    <cellStyle name="Normal 2 3" xfId="164"/>
    <cellStyle name="Normal 2 4" xfId="171"/>
    <cellStyle name="Normal 3" xfId="67"/>
    <cellStyle name="Normal 3 2" xfId="147"/>
    <cellStyle name="Normal 3 3" xfId="172"/>
    <cellStyle name="Normal 4" xfId="72"/>
    <cellStyle name="Normal 4 2" xfId="78"/>
    <cellStyle name="Normal 4 2 2" xfId="159"/>
    <cellStyle name="Normal 5" xfId="79"/>
    <cellStyle name="Normal 5 2" xfId="148"/>
    <cellStyle name="Normal 6" xfId="80"/>
    <cellStyle name="Normal 6 2" xfId="176"/>
    <cellStyle name="Normal 7" xfId="149"/>
    <cellStyle name="Normal 8" xfId="150"/>
    <cellStyle name="Normal 9" xfId="160"/>
    <cellStyle name="Note 2" xfId="68"/>
    <cellStyle name="Note 2 2" xfId="173"/>
    <cellStyle name="Output" xfId="9" builtinId="21" customBuiltin="1"/>
    <cellStyle name="Output 2" xfId="151"/>
    <cellStyle name="Output 2 2" xfId="191"/>
    <cellStyle name="Output 2 3" xfId="187"/>
    <cellStyle name="Percent" xfId="166" builtinId="5"/>
    <cellStyle name="Percent 2" xfId="73"/>
    <cellStyle name="Percent 2 2" xfId="152"/>
    <cellStyle name="Percent 3" xfId="81"/>
    <cellStyle name="Percent 4" xfId="83"/>
    <cellStyle name="Percent 4 2" xfId="82"/>
    <cellStyle name="Percent 5" xfId="153"/>
    <cellStyle name="Style 1" xfId="69"/>
    <cellStyle name="Title 2" xfId="154"/>
    <cellStyle name="Total" xfId="15" builtinId="25" customBuiltin="1"/>
    <cellStyle name="Total 2" xfId="155"/>
    <cellStyle name="Total 2 2" xfId="192"/>
    <cellStyle name="Total 2 3" xfId="185"/>
    <cellStyle name="True" xfId="70"/>
    <cellStyle name="True 2" xfId="165"/>
    <cellStyle name="True 2 2" xfId="194"/>
    <cellStyle name="True 2 3" xfId="177"/>
    <cellStyle name="Unique Formula" xfId="71"/>
    <cellStyle name="Warning Text" xfId="13" builtinId="11" customBuiltin="1"/>
    <cellStyle name="Warning Text 2" xfId="156"/>
    <cellStyle name="white_text_on_blue" xfId="157"/>
    <cellStyle name="year_formats_pink" xfId="158"/>
  </cellStyles>
  <dxfs count="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wat 2016">
  <a:themeElements>
    <a:clrScheme name="Ofwat 2015">
      <a:dk1>
        <a:sysClr val="windowText" lastClr="000000"/>
      </a:dk1>
      <a:lt1>
        <a:sysClr val="window" lastClr="FFFFFF"/>
      </a:lt1>
      <a:dk2>
        <a:srgbClr val="003479"/>
      </a:dk2>
      <a:lt2>
        <a:srgbClr val="FFFFFF"/>
      </a:lt2>
      <a:accent1>
        <a:srgbClr val="0078C9"/>
      </a:accent1>
      <a:accent2>
        <a:srgbClr val="857362"/>
      </a:accent2>
      <a:accent3>
        <a:srgbClr val="F4AA00"/>
      </a:accent3>
      <a:accent4>
        <a:srgbClr val="709500"/>
      </a:accent4>
      <a:accent5>
        <a:srgbClr val="CA0083"/>
      </a:accent5>
      <a:accent6>
        <a:srgbClr val="FE4819"/>
      </a:accent6>
      <a:hlink>
        <a:srgbClr val="0078C9"/>
      </a:hlink>
      <a:folHlink>
        <a:srgbClr val="CA0083"/>
      </a:folHlink>
    </a:clrScheme>
    <a:fontScheme name="Ofwat 2015">
      <a:majorFont>
        <a:latin typeface="Franklin Gothic Dem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wat 2016" id="{A420DE61-A4E8-4DB5-890E-1E2F09860D19}" vid="{7B41E948-0C9A-4054-BED8-27FCA73304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XFC39"/>
  <sheetViews>
    <sheetView showGridLines="0" zoomScale="80" zoomScaleNormal="8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0" defaultRowHeight="12.75"/>
  <cols>
    <col min="1" max="2" width="9.140625" customWidth="1"/>
    <col min="3" max="4" width="50.7109375" style="112" customWidth="1"/>
    <col min="5" max="5" width="15.85546875" style="112" customWidth="1"/>
    <col min="6" max="6" width="14.7109375" style="112" customWidth="1"/>
    <col min="7" max="7" width="0" hidden="1" customWidth="1"/>
    <col min="8" max="16383" width="9.140625" hidden="1"/>
    <col min="16384" max="16384" width="9" hidden="1" customWidth="1"/>
  </cols>
  <sheetData>
    <row r="1" spans="1:6" s="15" customFormat="1" ht="33.75">
      <c r="A1" s="28" t="s">
        <v>0</v>
      </c>
      <c r="B1" s="28"/>
      <c r="C1" s="28"/>
      <c r="D1" s="28"/>
      <c r="E1" s="28"/>
      <c r="F1" s="28"/>
    </row>
    <row r="2" spans="1:6">
      <c r="A2" s="16"/>
      <c r="B2" s="16"/>
      <c r="C2" s="123"/>
      <c r="D2" s="123"/>
      <c r="E2" s="123"/>
      <c r="F2" s="123"/>
    </row>
    <row r="3" spans="1:6" ht="15.75">
      <c r="A3" s="16"/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</row>
    <row r="4" spans="1:6">
      <c r="A4" s="16"/>
      <c r="B4" s="16"/>
      <c r="C4" s="123"/>
      <c r="D4" s="123"/>
      <c r="E4" s="123"/>
      <c r="F4" s="123"/>
    </row>
    <row r="5" spans="1:6" ht="129.75" customHeight="1">
      <c r="A5" s="16"/>
      <c r="B5" s="116">
        <v>1</v>
      </c>
      <c r="C5" s="117" t="s">
        <v>6</v>
      </c>
      <c r="D5" s="117" t="s">
        <v>7</v>
      </c>
      <c r="E5" s="117" t="s">
        <v>8</v>
      </c>
      <c r="F5" s="118" t="s">
        <v>9</v>
      </c>
    </row>
    <row r="6" spans="1:6" ht="124.5" customHeight="1">
      <c r="A6" s="16"/>
      <c r="B6" s="119">
        <v>2</v>
      </c>
      <c r="C6" s="114" t="s">
        <v>10</v>
      </c>
      <c r="D6" s="114" t="s">
        <v>11</v>
      </c>
      <c r="E6" s="114" t="s">
        <v>8</v>
      </c>
      <c r="F6" s="120" t="s">
        <v>12</v>
      </c>
    </row>
    <row r="7" spans="1:6" ht="72.75" customHeight="1">
      <c r="A7" s="16"/>
      <c r="B7" s="119">
        <v>3</v>
      </c>
      <c r="C7" s="114" t="s">
        <v>13</v>
      </c>
      <c r="D7" s="114" t="s">
        <v>14</v>
      </c>
      <c r="E7" s="114" t="s">
        <v>8</v>
      </c>
      <c r="F7" s="121" t="s">
        <v>15</v>
      </c>
    </row>
    <row r="8" spans="1:6" ht="108.75" customHeight="1">
      <c r="A8" s="16"/>
      <c r="B8" s="119">
        <v>4</v>
      </c>
      <c r="C8" s="115" t="s">
        <v>16</v>
      </c>
      <c r="D8" s="114" t="s">
        <v>17</v>
      </c>
      <c r="E8" s="114" t="s">
        <v>8</v>
      </c>
      <c r="F8" s="121" t="s">
        <v>15</v>
      </c>
    </row>
    <row r="9" spans="1:6" ht="38.25">
      <c r="A9" s="16"/>
      <c r="B9" s="155">
        <v>5</v>
      </c>
      <c r="C9" s="156" t="s">
        <v>18</v>
      </c>
      <c r="D9" s="157" t="s">
        <v>19</v>
      </c>
      <c r="E9" s="157" t="s">
        <v>20</v>
      </c>
      <c r="F9" s="158" t="s">
        <v>21</v>
      </c>
    </row>
    <row r="10" spans="1:6" ht="25.5">
      <c r="A10" s="16"/>
      <c r="B10" s="155">
        <v>6</v>
      </c>
      <c r="C10" s="156" t="s">
        <v>22</v>
      </c>
      <c r="D10" s="157" t="s">
        <v>23</v>
      </c>
      <c r="E10" s="157" t="s">
        <v>24</v>
      </c>
      <c r="F10" s="159" t="s">
        <v>25</v>
      </c>
    </row>
    <row r="11" spans="1:6" s="124" customFormat="1" ht="25.5">
      <c r="A11" s="16"/>
      <c r="B11" s="155">
        <v>7</v>
      </c>
      <c r="C11" s="157" t="s">
        <v>26</v>
      </c>
      <c r="D11" s="157" t="s">
        <v>27</v>
      </c>
      <c r="E11" s="156" t="s">
        <v>28</v>
      </c>
      <c r="F11" s="157" t="s">
        <v>29</v>
      </c>
    </row>
    <row r="12" spans="1:6" s="154" customFormat="1" ht="63.75">
      <c r="A12" s="16"/>
      <c r="B12" s="157">
        <v>8</v>
      </c>
      <c r="C12" s="156" t="s">
        <v>30</v>
      </c>
      <c r="D12" s="156" t="s">
        <v>31</v>
      </c>
      <c r="E12" s="156" t="s">
        <v>32</v>
      </c>
      <c r="F12" s="156" t="s">
        <v>33</v>
      </c>
    </row>
    <row r="13" spans="1:6" s="154" customFormat="1" ht="25.5">
      <c r="A13" s="16"/>
      <c r="B13" s="157">
        <v>9</v>
      </c>
      <c r="C13" s="156" t="s">
        <v>34</v>
      </c>
      <c r="D13" s="156" t="s">
        <v>35</v>
      </c>
      <c r="E13" s="156" t="s">
        <v>28</v>
      </c>
      <c r="F13" s="156" t="s">
        <v>36</v>
      </c>
    </row>
    <row r="14" spans="1:6" s="154" customFormat="1" ht="38.25">
      <c r="A14" s="16"/>
      <c r="B14" s="157">
        <v>10</v>
      </c>
      <c r="C14" s="156" t="s">
        <v>37</v>
      </c>
      <c r="D14" s="156" t="s">
        <v>38</v>
      </c>
      <c r="E14" s="156" t="s">
        <v>28</v>
      </c>
      <c r="F14" s="156" t="s">
        <v>39</v>
      </c>
    </row>
    <row r="15" spans="1:6" s="154" customFormat="1" ht="38.25">
      <c r="A15" s="175"/>
      <c r="B15" s="157">
        <v>11</v>
      </c>
      <c r="C15" s="156" t="s">
        <v>40</v>
      </c>
      <c r="D15" s="156" t="s">
        <v>41</v>
      </c>
      <c r="E15" s="156" t="s">
        <v>42</v>
      </c>
      <c r="F15" s="156" t="s">
        <v>43</v>
      </c>
    </row>
    <row r="16" spans="1:6" s="154" customFormat="1">
      <c r="A16" s="175">
        <v>43070</v>
      </c>
      <c r="B16" s="168">
        <v>12</v>
      </c>
      <c r="C16" s="169" t="s">
        <v>44</v>
      </c>
      <c r="D16" s="169" t="s">
        <v>45</v>
      </c>
      <c r="E16" s="168" t="s">
        <v>46</v>
      </c>
      <c r="F16" s="168" t="s">
        <v>47</v>
      </c>
    </row>
    <row r="17" spans="1:6" s="154" customFormat="1">
      <c r="A17" s="175">
        <v>43070</v>
      </c>
      <c r="B17" s="168">
        <v>13</v>
      </c>
      <c r="C17" s="169" t="s">
        <v>48</v>
      </c>
      <c r="D17" s="169" t="s">
        <v>49</v>
      </c>
      <c r="E17" s="168" t="s">
        <v>46</v>
      </c>
      <c r="F17" s="168" t="s">
        <v>50</v>
      </c>
    </row>
    <row r="18" spans="1:6" s="154" customFormat="1" ht="25.5">
      <c r="A18" s="175">
        <v>43070</v>
      </c>
      <c r="B18" s="168">
        <v>14</v>
      </c>
      <c r="C18" s="169" t="s">
        <v>51</v>
      </c>
      <c r="D18" s="169" t="s">
        <v>232</v>
      </c>
      <c r="E18" s="168" t="s">
        <v>46</v>
      </c>
      <c r="F18" s="169" t="s">
        <v>52</v>
      </c>
    </row>
    <row r="19" spans="1:6" s="154" customFormat="1" ht="38.25">
      <c r="A19" s="175">
        <v>43070</v>
      </c>
      <c r="B19" s="168">
        <v>15</v>
      </c>
      <c r="C19" s="169" t="s">
        <v>53</v>
      </c>
      <c r="D19" s="169" t="s">
        <v>54</v>
      </c>
      <c r="E19" s="168" t="s">
        <v>24</v>
      </c>
      <c r="F19" s="169" t="s">
        <v>55</v>
      </c>
    </row>
    <row r="20" spans="1:6" ht="77.099999999999994" customHeight="1">
      <c r="A20" s="175">
        <v>43070</v>
      </c>
      <c r="B20" s="168">
        <v>16</v>
      </c>
      <c r="C20" s="169" t="s">
        <v>235</v>
      </c>
      <c r="D20" s="169" t="s">
        <v>237</v>
      </c>
      <c r="E20" s="169" t="s">
        <v>236</v>
      </c>
      <c r="F20" s="169" t="s">
        <v>238</v>
      </c>
    </row>
    <row r="21" spans="1:6" ht="76.5">
      <c r="A21" s="175">
        <v>43252</v>
      </c>
      <c r="B21" s="170">
        <v>17</v>
      </c>
      <c r="C21" s="171" t="s">
        <v>251</v>
      </c>
      <c r="D21" s="171" t="s">
        <v>252</v>
      </c>
      <c r="E21" s="171" t="s">
        <v>28</v>
      </c>
      <c r="F21" s="171" t="s">
        <v>253</v>
      </c>
    </row>
    <row r="22" spans="1:6">
      <c r="A22" s="16"/>
      <c r="B22" s="16"/>
      <c r="C22" s="123"/>
      <c r="D22" s="123"/>
      <c r="E22" s="123"/>
      <c r="F22" s="123"/>
    </row>
    <row r="23" spans="1:6">
      <c r="A23" s="16"/>
      <c r="B23" s="16"/>
      <c r="C23" s="123"/>
      <c r="D23" s="123"/>
      <c r="E23" s="123"/>
      <c r="F23" s="123"/>
    </row>
    <row r="24" spans="1:6">
      <c r="A24" s="16"/>
      <c r="B24" s="16"/>
      <c r="C24" s="123"/>
      <c r="D24" s="123"/>
      <c r="E24" s="123"/>
      <c r="F24" s="123"/>
    </row>
    <row r="25" spans="1:6">
      <c r="A25" s="16"/>
      <c r="B25" s="16"/>
      <c r="C25" s="123"/>
      <c r="D25" s="123"/>
      <c r="E25" s="123"/>
      <c r="F25" s="123"/>
    </row>
    <row r="26" spans="1:6">
      <c r="A26" s="16"/>
      <c r="B26" s="16"/>
      <c r="C26" s="123"/>
      <c r="D26" s="123"/>
      <c r="E26" s="123"/>
      <c r="F26" s="123"/>
    </row>
    <row r="27" spans="1:6">
      <c r="A27" s="16"/>
      <c r="B27" s="16"/>
      <c r="C27" s="123"/>
      <c r="D27" s="123"/>
      <c r="E27" s="123"/>
      <c r="F27" s="123"/>
    </row>
    <row r="28" spans="1:6">
      <c r="A28" s="16"/>
      <c r="B28" s="16"/>
      <c r="C28" s="123"/>
      <c r="D28" s="123"/>
      <c r="E28" s="123"/>
      <c r="F28" s="123"/>
    </row>
    <row r="29" spans="1:6">
      <c r="A29" s="16"/>
      <c r="B29" s="16"/>
      <c r="C29" s="123"/>
      <c r="D29" s="123"/>
      <c r="E29" s="123"/>
      <c r="F29" s="123"/>
    </row>
    <row r="30" spans="1:6">
      <c r="A30" s="16"/>
      <c r="B30" s="16"/>
      <c r="C30" s="123"/>
      <c r="D30" s="123"/>
      <c r="E30" s="123"/>
      <c r="F30" s="123"/>
    </row>
    <row r="31" spans="1:6">
      <c r="A31" s="16"/>
      <c r="B31" s="16"/>
      <c r="C31" s="123"/>
      <c r="D31" s="123"/>
      <c r="E31" s="123"/>
      <c r="F31" s="123"/>
    </row>
    <row r="32" spans="1:6">
      <c r="A32" s="16"/>
      <c r="B32" s="16"/>
      <c r="C32" s="123"/>
      <c r="D32" s="123"/>
      <c r="E32" s="123"/>
      <c r="F32" s="123"/>
    </row>
    <row r="33" spans="1:6">
      <c r="A33" s="16"/>
      <c r="B33" s="16"/>
      <c r="C33" s="123"/>
      <c r="D33" s="123"/>
      <c r="E33" s="123"/>
      <c r="F33" s="123"/>
    </row>
    <row r="34" spans="1:6">
      <c r="A34" s="16"/>
      <c r="B34" s="16"/>
      <c r="C34" s="123"/>
      <c r="D34" s="123"/>
      <c r="E34" s="123"/>
      <c r="F34" s="123"/>
    </row>
    <row r="35" spans="1:6">
      <c r="A35" s="16"/>
      <c r="B35" s="16"/>
      <c r="C35" s="123"/>
      <c r="D35" s="123"/>
      <c r="E35" s="123"/>
      <c r="F35" s="123"/>
    </row>
    <row r="36" spans="1:6">
      <c r="A36" s="16"/>
      <c r="B36" s="16"/>
      <c r="C36" s="123"/>
      <c r="D36" s="123"/>
      <c r="E36" s="123"/>
      <c r="F36" s="123"/>
    </row>
    <row r="37" spans="1:6">
      <c r="A37" s="16"/>
      <c r="B37" s="16"/>
      <c r="C37" s="123"/>
      <c r="D37" s="123"/>
      <c r="E37" s="123"/>
      <c r="F37" s="123"/>
    </row>
    <row r="38" spans="1:6">
      <c r="A38" s="16"/>
      <c r="B38" s="16"/>
      <c r="C38" s="123"/>
      <c r="D38" s="123"/>
      <c r="E38" s="123"/>
      <c r="F38" s="123"/>
    </row>
    <row r="39" spans="1:6">
      <c r="A39" s="16"/>
      <c r="B39" s="16"/>
      <c r="C39" s="123"/>
      <c r="D39" s="123"/>
      <c r="E39" s="123"/>
      <c r="F39" s="123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1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I8" sqref="I8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18.28515625" style="3" customWidth="1"/>
    <col min="6" max="8" width="2.7109375" style="3" customWidth="1"/>
    <col min="9" max="15" width="10" style="3" customWidth="1"/>
    <col min="16" max="17" width="10.42578125" style="3" customWidth="1"/>
    <col min="18" max="18" width="10.42578125" style="10" customWidth="1"/>
    <col min="19" max="19" width="10.85546875" style="10" customWidth="1"/>
    <col min="20" max="21" width="10.85546875" style="3" customWidth="1"/>
    <col min="22" max="22" width="15.85546875" style="3" customWidth="1"/>
    <col min="23" max="24" width="0" style="3" hidden="1" customWidth="1"/>
    <col min="25" max="16384" width="9.140625" style="3" hidden="1"/>
  </cols>
  <sheetData>
    <row r="1" spans="1:22" ht="33.75">
      <c r="A1" s="1"/>
      <c r="B1" s="1"/>
      <c r="C1" s="1"/>
      <c r="D1" s="28" t="s">
        <v>215</v>
      </c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>
      <c r="A2" s="2"/>
      <c r="B2" s="2"/>
      <c r="C2" s="2"/>
      <c r="D2" s="2"/>
      <c r="E2" s="2"/>
      <c r="F2" s="16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</row>
    <row r="3" spans="1:22">
      <c r="A3" s="16"/>
      <c r="B3" s="16"/>
      <c r="C3" s="16"/>
      <c r="D3" s="16"/>
      <c r="E3" s="16" t="s">
        <v>57</v>
      </c>
      <c r="F3" s="16"/>
      <c r="G3" s="16"/>
      <c r="H3" s="16"/>
      <c r="I3" s="4" t="s">
        <v>216</v>
      </c>
      <c r="J3" s="4" t="s">
        <v>217</v>
      </c>
      <c r="K3" s="4" t="s">
        <v>218</v>
      </c>
      <c r="L3" s="5" t="s">
        <v>219</v>
      </c>
      <c r="M3" s="5" t="s">
        <v>220</v>
      </c>
      <c r="N3" s="5" t="s">
        <v>221</v>
      </c>
      <c r="O3" s="5" t="s">
        <v>222</v>
      </c>
      <c r="P3" s="5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13" t="s">
        <v>229</v>
      </c>
    </row>
    <row r="4" spans="1:2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</row>
    <row r="5" spans="1:22">
      <c r="A5" s="16"/>
      <c r="B5" s="16"/>
      <c r="C5" s="16"/>
      <c r="D5" s="16"/>
      <c r="E5" s="16" t="s">
        <v>58</v>
      </c>
      <c r="F5" s="16"/>
      <c r="G5" s="16"/>
      <c r="H5" s="16"/>
      <c r="I5" s="146">
        <v>2012</v>
      </c>
      <c r="J5" s="146">
        <v>2013</v>
      </c>
      <c r="K5" s="146">
        <v>2014</v>
      </c>
      <c r="L5" s="146">
        <v>2015</v>
      </c>
      <c r="M5" s="146">
        <v>2016</v>
      </c>
      <c r="N5" s="146">
        <v>2017</v>
      </c>
      <c r="O5" s="146">
        <v>2018</v>
      </c>
      <c r="P5" s="146">
        <v>2019</v>
      </c>
      <c r="Q5" s="146">
        <v>2020</v>
      </c>
      <c r="R5" s="146">
        <v>2021</v>
      </c>
      <c r="S5" s="146">
        <v>2022</v>
      </c>
      <c r="T5" s="146">
        <v>2023</v>
      </c>
      <c r="U5" s="146">
        <v>2024</v>
      </c>
      <c r="V5" s="13" t="s">
        <v>230</v>
      </c>
    </row>
    <row r="6" spans="1:22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</row>
    <row r="7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10" customForma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3.5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3.5" thickBot="1">
      <c r="A10" s="11" t="s">
        <v>111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E76"/>
  <sheetViews>
    <sheetView showGridLines="0" tabSelected="1" zoomScale="80" zoomScaleNormal="80" workbookViewId="0">
      <pane xSplit="8" ySplit="7" topLeftCell="I34" activePane="bottomRight" state="frozen"/>
      <selection activeCell="A20" sqref="A20"/>
      <selection pane="topRight" activeCell="A20" sqref="A20"/>
      <selection pane="bottomLeft" activeCell="A20" sqref="A20"/>
      <selection pane="bottomRight" activeCell="R70" sqref="R70"/>
    </sheetView>
  </sheetViews>
  <sheetFormatPr defaultColWidth="0" defaultRowHeight="12.75" zeroHeight="1"/>
  <cols>
    <col min="1" max="3" width="2.7109375" style="3" customWidth="1"/>
    <col min="4" max="4" width="9.7109375" style="3" customWidth="1"/>
    <col min="5" max="5" width="52.140625" style="3" customWidth="1"/>
    <col min="6" max="6" width="17.7109375" style="40" customWidth="1"/>
    <col min="7" max="7" width="10.5703125" style="3" customWidth="1"/>
    <col min="8" max="8" width="10.42578125" style="3" customWidth="1"/>
    <col min="9" max="11" width="10.140625" style="3" customWidth="1"/>
    <col min="12" max="18" width="10.5703125" style="3" customWidth="1"/>
    <col min="19" max="20" width="10.5703125" style="10" customWidth="1"/>
    <col min="21" max="21" width="10.5703125" style="3" customWidth="1"/>
    <col min="22" max="22" width="16.5703125" style="3" customWidth="1"/>
    <col min="23" max="23" width="9.140625" style="3" customWidth="1"/>
    <col min="24" max="31" width="0" style="3" hidden="1" customWidth="1"/>
    <col min="32" max="16384" width="9.140625" style="3" hidden="1"/>
  </cols>
  <sheetData>
    <row r="1" spans="1:23" s="2" customFormat="1" ht="33.75">
      <c r="A1" s="28"/>
      <c r="B1" s="28"/>
      <c r="C1" s="28"/>
      <c r="D1" s="28" t="s">
        <v>56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40"/>
      <c r="G2" s="16"/>
      <c r="O2" s="16"/>
      <c r="P2" s="16"/>
    </row>
    <row r="3" spans="1:23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>
      <c r="A4" s="133">
        <v>1</v>
      </c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>
      <c r="A5" s="16"/>
      <c r="B5" s="16"/>
      <c r="C5" s="16"/>
      <c r="D5" s="16"/>
      <c r="E5" s="16" t="s">
        <v>58</v>
      </c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14">
        <f t="shared" si="1"/>
        <v>2018</v>
      </c>
      <c r="P5" s="1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7" customFormat="1" ht="15">
      <c r="A8" s="134"/>
      <c r="B8" s="8"/>
      <c r="C8" s="8"/>
      <c r="D8" s="27"/>
      <c r="E8" s="135" t="s">
        <v>60</v>
      </c>
      <c r="F8" s="13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16"/>
      <c r="B10" s="16"/>
      <c r="C10" s="16"/>
      <c r="D10" s="17" t="s">
        <v>61</v>
      </c>
      <c r="E10" s="16" t="s">
        <v>62</v>
      </c>
      <c r="G10" s="126" t="s">
        <v>255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10" customFormat="1">
      <c r="A11" s="16"/>
      <c r="B11" s="16"/>
      <c r="C11" s="16"/>
      <c r="D11" s="146" t="s">
        <v>61</v>
      </c>
      <c r="E11" s="140" t="s">
        <v>63</v>
      </c>
      <c r="F11" s="149"/>
      <c r="G11" s="126" t="s">
        <v>254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16"/>
      <c r="B12" s="16"/>
      <c r="C12" s="16"/>
      <c r="D12" s="146" t="s">
        <v>64</v>
      </c>
      <c r="E12" s="140" t="s">
        <v>65</v>
      </c>
      <c r="F12" s="149"/>
      <c r="G12" s="126" t="b">
        <v>1</v>
      </c>
      <c r="H12" s="16" t="s">
        <v>64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7" customFormat="1" ht="15">
      <c r="A13" s="134"/>
      <c r="B13" s="8"/>
      <c r="C13" s="8"/>
      <c r="D13" s="27"/>
      <c r="E13" s="135" t="s">
        <v>66</v>
      </c>
      <c r="F13" s="13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s="10" customFormat="1">
      <c r="A14" s="16"/>
      <c r="B14" s="16"/>
      <c r="C14" s="16"/>
      <c r="D14" s="16"/>
      <c r="E14" s="16"/>
      <c r="F14" s="40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10" customFormat="1">
      <c r="A15" s="16"/>
      <c r="B15" s="16"/>
      <c r="C15" s="16"/>
      <c r="D15" s="16"/>
      <c r="E15" s="9" t="s">
        <v>67</v>
      </c>
      <c r="F15" s="40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0" customFormat="1">
      <c r="A16" s="16"/>
      <c r="B16" s="16"/>
      <c r="C16" s="16"/>
      <c r="D16" s="17" t="s">
        <v>68</v>
      </c>
      <c r="E16" s="18" t="s">
        <v>69</v>
      </c>
      <c r="F16" s="40"/>
      <c r="G16" s="137">
        <v>0.02</v>
      </c>
      <c r="H16" s="13" t="s">
        <v>70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10" customFormat="1">
      <c r="A17" s="16"/>
      <c r="B17" s="16"/>
      <c r="C17" s="16"/>
      <c r="D17" s="17" t="s">
        <v>68</v>
      </c>
      <c r="E17" s="18" t="s">
        <v>71</v>
      </c>
      <c r="F17" s="40"/>
      <c r="G17" s="137">
        <v>0.03</v>
      </c>
      <c r="H17" s="13" t="s">
        <v>72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10" customFormat="1">
      <c r="A18" s="16"/>
      <c r="B18" s="16"/>
      <c r="C18" s="16"/>
      <c r="D18" s="17"/>
      <c r="E18" s="16"/>
      <c r="F18" s="40"/>
      <c r="G18" s="16"/>
      <c r="H18" s="1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10" customFormat="1">
      <c r="A19" s="16"/>
      <c r="B19" s="16"/>
      <c r="C19" s="16"/>
      <c r="D19" s="17" t="s">
        <v>68</v>
      </c>
      <c r="E19" s="16" t="s">
        <v>73</v>
      </c>
      <c r="F19" s="40"/>
      <c r="G19" s="137">
        <v>0.03</v>
      </c>
      <c r="H19" s="13" t="s">
        <v>74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customFormat="1">
      <c r="D20" s="17" t="s">
        <v>68</v>
      </c>
      <c r="E20" s="16" t="s">
        <v>75</v>
      </c>
      <c r="F20" s="40"/>
      <c r="G20" s="137">
        <v>3.6999999999999998E-2</v>
      </c>
      <c r="H20" s="13" t="s">
        <v>76</v>
      </c>
      <c r="L20" s="43"/>
    </row>
    <row r="21" spans="1:23" customFormat="1">
      <c r="F21" s="42"/>
      <c r="H21" s="16"/>
    </row>
    <row r="22" spans="1:23" customFormat="1">
      <c r="D22" s="17" t="s">
        <v>68</v>
      </c>
      <c r="E22" s="16" t="s">
        <v>77</v>
      </c>
      <c r="F22" s="42"/>
      <c r="G22" s="137">
        <v>0.06</v>
      </c>
      <c r="H22" s="13" t="s">
        <v>78</v>
      </c>
    </row>
    <row r="23" spans="1:23" s="10" customFormat="1">
      <c r="A23" s="16"/>
      <c r="B23" s="16"/>
      <c r="C23" s="16"/>
      <c r="D23" s="17"/>
      <c r="E23" s="16"/>
      <c r="F23" s="40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7" customFormat="1" ht="15">
      <c r="A24" s="134"/>
      <c r="B24" s="8"/>
      <c r="C24" s="8"/>
      <c r="D24" s="138"/>
      <c r="E24" s="135" t="s">
        <v>79</v>
      </c>
      <c r="F24" s="13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customFormat="1">
      <c r="F25" s="42"/>
    </row>
    <row r="26" spans="1:23">
      <c r="A26" s="16"/>
      <c r="B26" s="16"/>
      <c r="C26" s="16"/>
      <c r="D26" s="17"/>
      <c r="E26" s="9" t="s">
        <v>80</v>
      </c>
      <c r="G26" s="16"/>
      <c r="H26" s="16"/>
      <c r="I26" s="16"/>
      <c r="J26" s="16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3"/>
      <c r="W26" s="16"/>
    </row>
    <row r="27" spans="1:23" s="16" customFormat="1">
      <c r="A27" s="150"/>
      <c r="B27" s="150"/>
      <c r="C27" s="150"/>
      <c r="D27" s="17" t="s">
        <v>81</v>
      </c>
      <c r="E27" s="18" t="s">
        <v>82</v>
      </c>
      <c r="F27" s="40" t="s">
        <v>83</v>
      </c>
      <c r="K27" s="127">
        <v>267.98200000000003</v>
      </c>
      <c r="L27" s="32"/>
      <c r="M27" s="32"/>
      <c r="N27" s="32"/>
      <c r="O27" s="32"/>
      <c r="P27" s="32"/>
      <c r="Q27" s="125"/>
      <c r="R27" s="125"/>
      <c r="S27" s="125"/>
      <c r="T27" s="125"/>
      <c r="U27" s="125"/>
      <c r="V27" s="13" t="s">
        <v>84</v>
      </c>
    </row>
    <row r="28" spans="1:23" s="16" customFormat="1">
      <c r="A28" s="150"/>
      <c r="B28" s="150"/>
      <c r="C28" s="150"/>
      <c r="D28" s="17" t="s">
        <v>81</v>
      </c>
      <c r="E28" s="18" t="s">
        <v>85</v>
      </c>
      <c r="F28" s="40" t="s">
        <v>83</v>
      </c>
      <c r="K28" s="127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3" t="s">
        <v>86</v>
      </c>
    </row>
    <row r="29" spans="1:23" s="10" customFormat="1">
      <c r="A29" s="150"/>
      <c r="B29" s="150"/>
      <c r="C29" s="150"/>
      <c r="D29" s="17"/>
      <c r="E29" s="16"/>
      <c r="F29" s="40"/>
      <c r="G29" s="16"/>
      <c r="H29" s="16"/>
      <c r="I29" s="16"/>
      <c r="J29" s="16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3"/>
      <c r="W29" s="16"/>
    </row>
    <row r="30" spans="1:23" s="10" customFormat="1">
      <c r="A30" s="150"/>
      <c r="B30" s="150"/>
      <c r="C30" s="150"/>
      <c r="D30" s="17"/>
      <c r="E30" s="9" t="s">
        <v>87</v>
      </c>
      <c r="F30" s="40"/>
      <c r="G30" s="16"/>
      <c r="H30" s="16"/>
      <c r="I30" s="16"/>
      <c r="J30" s="16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3"/>
      <c r="W30" s="16"/>
    </row>
    <row r="31" spans="1:23" s="10" customFormat="1">
      <c r="A31" s="150"/>
      <c r="B31" s="150"/>
      <c r="C31" s="150"/>
      <c r="D31" s="17" t="s">
        <v>88</v>
      </c>
      <c r="E31" s="18" t="s">
        <v>89</v>
      </c>
      <c r="F31" s="40"/>
      <c r="G31" s="16"/>
      <c r="H31" s="16"/>
      <c r="I31" s="16"/>
      <c r="J31" s="16"/>
      <c r="K31" s="32"/>
      <c r="L31" s="33">
        <v>0</v>
      </c>
      <c r="M31" s="176">
        <v>0.39</v>
      </c>
      <c r="N31" s="176">
        <v>-2.0699999999999998</v>
      </c>
      <c r="O31" s="176">
        <v>-1.2</v>
      </c>
      <c r="P31" s="176">
        <v>-0.8</v>
      </c>
      <c r="Q31" s="32"/>
      <c r="R31" s="32"/>
      <c r="S31" s="32"/>
      <c r="T31" s="32"/>
      <c r="U31" s="32"/>
      <c r="V31" s="13" t="s">
        <v>90</v>
      </c>
      <c r="W31" s="16"/>
    </row>
    <row r="32" spans="1:23" s="10" customFormat="1">
      <c r="A32" s="150"/>
      <c r="B32" s="150"/>
      <c r="C32" s="150"/>
      <c r="D32" s="17" t="s">
        <v>88</v>
      </c>
      <c r="E32" s="18" t="s">
        <v>91</v>
      </c>
      <c r="F32" s="40"/>
      <c r="G32" s="16"/>
      <c r="H32" s="16"/>
      <c r="I32" s="16"/>
      <c r="J32" s="16"/>
      <c r="K32" s="32"/>
      <c r="L32" s="33"/>
      <c r="M32" s="33"/>
      <c r="N32" s="33"/>
      <c r="O32" s="33"/>
      <c r="P32" s="33"/>
      <c r="Q32" s="32"/>
      <c r="R32" s="32"/>
      <c r="S32" s="32"/>
      <c r="T32" s="32"/>
      <c r="U32" s="32"/>
      <c r="V32" s="13" t="s">
        <v>92</v>
      </c>
      <c r="W32" s="16"/>
    </row>
    <row r="33" spans="1:23" s="10" customFormat="1">
      <c r="A33" s="150"/>
      <c r="B33" s="150"/>
      <c r="C33" s="150"/>
      <c r="D33" s="17"/>
      <c r="E33" s="16"/>
      <c r="F33" s="40"/>
      <c r="G33" s="16"/>
      <c r="H33" s="16"/>
      <c r="I33" s="16"/>
      <c r="J33" s="16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3"/>
      <c r="W33" s="16"/>
    </row>
    <row r="34" spans="1:23" s="10" customFormat="1">
      <c r="A34" s="150"/>
      <c r="B34" s="150"/>
      <c r="C34" s="150"/>
      <c r="D34" s="17"/>
      <c r="E34" s="9" t="s">
        <v>93</v>
      </c>
      <c r="F34" s="40"/>
      <c r="G34" s="16"/>
      <c r="H34" s="16"/>
      <c r="I34" s="16"/>
      <c r="J34" s="16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3"/>
      <c r="W34" s="16"/>
    </row>
    <row r="35" spans="1:23" s="10" customFormat="1">
      <c r="A35" s="150"/>
      <c r="B35" s="150"/>
      <c r="C35" s="150"/>
      <c r="D35" s="17"/>
      <c r="E35" s="21" t="s">
        <v>94</v>
      </c>
      <c r="F35" s="40"/>
      <c r="G35" s="16"/>
      <c r="H35" s="16"/>
      <c r="I35" s="16"/>
      <c r="J35" s="16"/>
      <c r="K35" s="32"/>
      <c r="L35" s="177"/>
      <c r="M35" s="177"/>
      <c r="N35" s="16"/>
      <c r="O35" s="16"/>
      <c r="P35" s="16"/>
      <c r="Q35" s="32"/>
      <c r="R35" s="32"/>
      <c r="S35" s="32"/>
      <c r="T35" s="32"/>
      <c r="U35" s="32"/>
      <c r="V35" s="13"/>
      <c r="W35" s="16"/>
    </row>
    <row r="36" spans="1:23" s="10" customFormat="1">
      <c r="A36" s="150"/>
      <c r="B36" s="150"/>
      <c r="C36" s="150"/>
      <c r="D36" s="17" t="s">
        <v>81</v>
      </c>
      <c r="E36" s="24" t="s">
        <v>95</v>
      </c>
      <c r="F36" s="40" t="s">
        <v>96</v>
      </c>
      <c r="G36" s="16"/>
      <c r="H36" s="16"/>
      <c r="I36" s="16"/>
      <c r="J36" s="16"/>
      <c r="K36" s="32"/>
      <c r="L36" s="127">
        <f>L74</f>
        <v>272.31100000000004</v>
      </c>
      <c r="M36" s="127">
        <f t="shared" ref="M36:P36" si="2">M74</f>
        <v>276.39300000000003</v>
      </c>
      <c r="N36" s="127">
        <f t="shared" si="2"/>
        <v>281.02079999999995</v>
      </c>
      <c r="O36" s="127">
        <f t="shared" si="2"/>
        <v>282.56780000000003</v>
      </c>
      <c r="P36" s="127">
        <f t="shared" si="2"/>
        <v>280.9658</v>
      </c>
      <c r="Q36" s="32"/>
      <c r="R36" s="32"/>
      <c r="S36" s="32"/>
      <c r="T36" s="32"/>
      <c r="U36" s="32"/>
      <c r="V36" s="13" t="s">
        <v>97</v>
      </c>
      <c r="W36" s="16"/>
    </row>
    <row r="37" spans="1:23" s="10" customFormat="1">
      <c r="A37" s="150"/>
      <c r="B37" s="150"/>
      <c r="C37" s="150"/>
      <c r="D37" s="17" t="s">
        <v>81</v>
      </c>
      <c r="E37" s="24" t="s">
        <v>98</v>
      </c>
      <c r="F37" s="40" t="s">
        <v>96</v>
      </c>
      <c r="G37" s="16"/>
      <c r="H37" s="16"/>
      <c r="I37" s="16"/>
      <c r="J37" s="16"/>
      <c r="K37" s="32"/>
      <c r="L37" s="128"/>
      <c r="M37" s="128"/>
      <c r="N37" s="128"/>
      <c r="O37" s="128"/>
      <c r="P37" s="128"/>
      <c r="Q37" s="32"/>
      <c r="R37" s="32"/>
      <c r="S37" s="32"/>
      <c r="T37" s="32"/>
      <c r="U37" s="32"/>
      <c r="V37" s="13" t="s">
        <v>99</v>
      </c>
      <c r="W37" s="16"/>
    </row>
    <row r="38" spans="1:23" s="10" customFormat="1">
      <c r="A38" s="150"/>
      <c r="B38" s="150"/>
      <c r="C38" s="150"/>
      <c r="D38" s="16"/>
      <c r="E38" s="16"/>
      <c r="F38" s="40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3"/>
      <c r="W38" s="16"/>
    </row>
    <row r="39" spans="1:23" s="7" customFormat="1" ht="15">
      <c r="A39" s="134"/>
      <c r="B39" s="8"/>
      <c r="C39" s="8"/>
      <c r="D39" s="138"/>
      <c r="E39" s="135" t="s">
        <v>100</v>
      </c>
      <c r="F39" s="13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customFormat="1">
      <c r="A40" s="151"/>
      <c r="B40" s="151"/>
      <c r="C40" s="151"/>
      <c r="F40" s="42"/>
    </row>
    <row r="41" spans="1:23" s="10" customFormat="1">
      <c r="A41" s="150"/>
      <c r="B41" s="150"/>
      <c r="C41" s="150"/>
      <c r="D41" s="17"/>
      <c r="E41" s="9" t="s">
        <v>101</v>
      </c>
      <c r="F41" s="40"/>
      <c r="G41" s="16"/>
      <c r="H41" s="16"/>
      <c r="I41" s="16"/>
      <c r="J41" s="16"/>
      <c r="K41" s="32"/>
      <c r="L41" s="32"/>
      <c r="M41" s="32"/>
      <c r="N41" s="32"/>
      <c r="O41" s="32"/>
      <c r="P41" s="32"/>
      <c r="Q41" s="131"/>
      <c r="R41" s="32"/>
      <c r="S41" s="32"/>
      <c r="T41" s="32"/>
      <c r="U41" s="32"/>
      <c r="V41" s="13"/>
      <c r="W41" s="16"/>
    </row>
    <row r="42" spans="1:23" s="16" customFormat="1">
      <c r="A42" s="150"/>
      <c r="B42" s="150"/>
      <c r="C42" s="150"/>
      <c r="D42" s="17" t="s">
        <v>81</v>
      </c>
      <c r="E42" s="18" t="s">
        <v>102</v>
      </c>
      <c r="F42" s="40" t="s">
        <v>103</v>
      </c>
      <c r="K42" s="127">
        <v>-1.1579999999999999</v>
      </c>
      <c r="L42" s="13" t="s">
        <v>104</v>
      </c>
      <c r="M42" s="13"/>
      <c r="N42" s="13"/>
      <c r="O42" s="13"/>
      <c r="P42" s="13"/>
      <c r="Q42" s="13"/>
      <c r="R42" s="32"/>
      <c r="S42" s="32"/>
      <c r="T42" s="32"/>
      <c r="U42" s="32"/>
      <c r="V42" s="13"/>
    </row>
    <row r="43" spans="1:23" s="16" customFormat="1">
      <c r="A43" s="150"/>
      <c r="B43" s="150"/>
      <c r="C43" s="150"/>
      <c r="D43" s="17" t="s">
        <v>81</v>
      </c>
      <c r="E43" s="18" t="s">
        <v>105</v>
      </c>
      <c r="F43" s="40" t="s">
        <v>103</v>
      </c>
      <c r="K43" s="128">
        <v>0</v>
      </c>
      <c r="L43" s="13" t="s">
        <v>106</v>
      </c>
      <c r="M43" s="13"/>
      <c r="N43" s="13"/>
      <c r="O43" s="13"/>
      <c r="P43" s="13"/>
      <c r="Q43" s="13"/>
      <c r="R43" s="32"/>
      <c r="S43" s="32"/>
      <c r="T43" s="32"/>
      <c r="U43" s="32"/>
      <c r="V43" s="13"/>
    </row>
    <row r="44" spans="1:23" s="10" customFormat="1">
      <c r="A44" s="150"/>
      <c r="B44" s="150"/>
      <c r="C44" s="150"/>
      <c r="D44" s="147" t="s">
        <v>107</v>
      </c>
      <c r="E44" s="148" t="s">
        <v>108</v>
      </c>
      <c r="F44" s="149" t="s">
        <v>109</v>
      </c>
      <c r="G44" s="13"/>
      <c r="H44" s="13"/>
      <c r="I44" s="16"/>
      <c r="J44" s="16"/>
      <c r="K44" s="32"/>
      <c r="L44" s="32"/>
      <c r="M44" s="32"/>
      <c r="N44" s="129">
        <v>1</v>
      </c>
      <c r="O44" s="129">
        <v>0</v>
      </c>
      <c r="P44" s="129">
        <v>0</v>
      </c>
      <c r="Q44" s="139">
        <f>SUM(N44:P44)</f>
        <v>1</v>
      </c>
      <c r="R44" s="32"/>
      <c r="S44" s="32"/>
      <c r="T44" s="32"/>
      <c r="U44" s="32"/>
      <c r="V44" s="13"/>
      <c r="W44" s="16"/>
    </row>
    <row r="45" spans="1:23" s="10" customFormat="1">
      <c r="A45" s="150"/>
      <c r="B45" s="150"/>
      <c r="C45" s="150"/>
      <c r="D45" s="147" t="s">
        <v>107</v>
      </c>
      <c r="E45" s="148" t="s">
        <v>110</v>
      </c>
      <c r="F45" s="149" t="s">
        <v>109</v>
      </c>
      <c r="G45" s="13"/>
      <c r="H45" s="13"/>
      <c r="I45" s="16"/>
      <c r="J45" s="16"/>
      <c r="K45" s="32"/>
      <c r="L45" s="32"/>
      <c r="M45" s="32"/>
      <c r="N45" s="129">
        <v>0</v>
      </c>
      <c r="O45" s="129">
        <v>0</v>
      </c>
      <c r="P45" s="129">
        <v>0</v>
      </c>
      <c r="Q45" s="139">
        <f>SUM(N45:P45)</f>
        <v>0</v>
      </c>
      <c r="R45" s="32"/>
      <c r="S45" s="32"/>
      <c r="T45" s="32"/>
      <c r="U45" s="32"/>
      <c r="V45" s="13"/>
      <c r="W45" s="16"/>
    </row>
    <row r="46" spans="1:23" s="10" customFormat="1">
      <c r="A46" s="150"/>
      <c r="B46" s="150"/>
      <c r="C46" s="150"/>
      <c r="D46" s="146"/>
      <c r="E46" s="148"/>
      <c r="F46" s="149"/>
      <c r="G46" s="13"/>
      <c r="H46" s="13"/>
      <c r="I46" s="16"/>
      <c r="J46" s="16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3"/>
      <c r="W46" s="16"/>
    </row>
    <row r="47" spans="1:23" s="7" customFormat="1" ht="15">
      <c r="A47" s="134"/>
      <c r="B47" s="8"/>
      <c r="C47" s="8"/>
      <c r="D47" s="138"/>
      <c r="E47" s="135" t="s">
        <v>233</v>
      </c>
      <c r="F47" s="13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s="10" customFormat="1">
      <c r="A48" s="150"/>
      <c r="B48" s="150"/>
      <c r="C48" s="150"/>
      <c r="D48" s="146"/>
      <c r="E48" s="148"/>
      <c r="F48" s="149"/>
      <c r="G48" s="13"/>
      <c r="H48" s="13"/>
      <c r="I48" s="16"/>
      <c r="J48" s="16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3"/>
      <c r="W48" s="16"/>
    </row>
    <row r="49" spans="1:23" s="10" customFormat="1">
      <c r="A49" s="150"/>
      <c r="B49" s="150"/>
      <c r="C49" s="150"/>
      <c r="D49" s="146"/>
      <c r="E49" s="165" t="s">
        <v>234</v>
      </c>
      <c r="F49" s="149"/>
      <c r="G49" s="13"/>
      <c r="H49" s="13"/>
      <c r="I49" s="16"/>
      <c r="J49" s="1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3"/>
      <c r="W49" s="16"/>
    </row>
    <row r="50" spans="1:23" s="10" customFormat="1">
      <c r="A50" s="150"/>
      <c r="B50" s="150"/>
      <c r="C50" s="150"/>
      <c r="D50" s="17" t="s">
        <v>81</v>
      </c>
      <c r="E50" s="24" t="s">
        <v>239</v>
      </c>
      <c r="F50" s="40" t="s">
        <v>96</v>
      </c>
      <c r="G50" s="13"/>
      <c r="H50" s="13"/>
      <c r="I50" s="16"/>
      <c r="J50" s="16"/>
      <c r="K50" s="32"/>
      <c r="L50" s="32"/>
      <c r="M50" s="32"/>
      <c r="N50" s="32"/>
      <c r="O50" s="128">
        <v>0</v>
      </c>
      <c r="P50" s="32"/>
      <c r="Q50" s="32"/>
      <c r="R50" s="32"/>
      <c r="S50" s="32"/>
      <c r="T50" s="32"/>
      <c r="U50" s="32"/>
      <c r="V50" s="13"/>
      <c r="W50" s="16"/>
    </row>
    <row r="51" spans="1:23" s="10" customFormat="1">
      <c r="A51" s="150"/>
      <c r="B51" s="150"/>
      <c r="C51" s="150"/>
      <c r="D51" s="17" t="s">
        <v>81</v>
      </c>
      <c r="E51" s="24" t="s">
        <v>240</v>
      </c>
      <c r="F51" s="40" t="s">
        <v>96</v>
      </c>
      <c r="G51" s="13"/>
      <c r="H51" s="13"/>
      <c r="I51" s="16"/>
      <c r="J51" s="16"/>
      <c r="K51" s="32"/>
      <c r="L51" s="32"/>
      <c r="M51" s="32"/>
      <c r="N51" s="32"/>
      <c r="O51" s="128">
        <v>0</v>
      </c>
      <c r="P51" s="32"/>
      <c r="Q51" s="32"/>
      <c r="R51" s="32"/>
      <c r="S51" s="32"/>
      <c r="T51" s="32"/>
      <c r="U51" s="32"/>
      <c r="V51" s="13"/>
      <c r="W51" s="16"/>
    </row>
    <row r="52" spans="1:23" s="10" customFormat="1">
      <c r="A52" s="150"/>
      <c r="B52" s="150"/>
      <c r="C52" s="150"/>
      <c r="D52" s="146"/>
      <c r="E52" s="148"/>
      <c r="F52" s="149"/>
      <c r="G52" s="13"/>
      <c r="H52" s="13"/>
      <c r="I52" s="16"/>
      <c r="J52" s="16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3"/>
      <c r="W52" s="16"/>
    </row>
    <row r="53" spans="1:23" s="10" customFormat="1">
      <c r="A53" s="150"/>
      <c r="B53" s="150"/>
      <c r="C53" s="150"/>
      <c r="D53" s="17" t="s">
        <v>81</v>
      </c>
      <c r="E53" s="24" t="s">
        <v>241</v>
      </c>
      <c r="F53" s="40" t="s">
        <v>96</v>
      </c>
      <c r="G53" s="13"/>
      <c r="H53" s="13"/>
      <c r="I53" s="16"/>
      <c r="J53" s="16"/>
      <c r="K53" s="32"/>
      <c r="L53" s="32"/>
      <c r="M53" s="32"/>
      <c r="N53" s="32"/>
      <c r="O53" s="32"/>
      <c r="P53" s="128">
        <v>0</v>
      </c>
      <c r="Q53" s="32"/>
      <c r="R53" s="32"/>
      <c r="S53" s="32"/>
      <c r="T53" s="32"/>
      <c r="U53" s="32"/>
      <c r="V53" s="13"/>
      <c r="W53" s="16"/>
    </row>
    <row r="54" spans="1:23" s="10" customFormat="1">
      <c r="A54" s="150"/>
      <c r="B54" s="150"/>
      <c r="C54" s="150"/>
      <c r="D54" s="17" t="s">
        <v>81</v>
      </c>
      <c r="E54" s="24" t="s">
        <v>242</v>
      </c>
      <c r="F54" s="40" t="s">
        <v>96</v>
      </c>
      <c r="G54" s="13"/>
      <c r="H54" s="13"/>
      <c r="I54" s="16"/>
      <c r="J54" s="16"/>
      <c r="K54" s="32"/>
      <c r="L54" s="32"/>
      <c r="M54" s="32"/>
      <c r="N54" s="32"/>
      <c r="O54" s="32"/>
      <c r="P54" s="128">
        <v>0</v>
      </c>
      <c r="Q54" s="32"/>
      <c r="R54" s="32"/>
      <c r="S54" s="32"/>
      <c r="T54" s="32"/>
      <c r="U54" s="32"/>
      <c r="V54" s="13"/>
      <c r="W54" s="16"/>
    </row>
    <row r="55" spans="1:23" s="10" customFormat="1" ht="13.5" thickBot="1">
      <c r="A55" s="150"/>
      <c r="B55" s="150"/>
      <c r="C55" s="150"/>
      <c r="D55" s="146"/>
      <c r="E55" s="148"/>
      <c r="F55" s="149"/>
      <c r="G55" s="13"/>
      <c r="H55" s="13"/>
      <c r="I55" s="16"/>
      <c r="J55" s="16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3"/>
      <c r="W55" s="16"/>
    </row>
    <row r="56" spans="1:23" ht="13.5" thickBot="1">
      <c r="A56" s="11" t="s">
        <v>111</v>
      </c>
      <c r="B56" s="12"/>
      <c r="C56" s="12"/>
      <c r="D56" s="12"/>
      <c r="E56" s="12"/>
      <c r="F56" s="4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/>
    <row r="58" spans="1:23" hidden="1"/>
    <row r="59" spans="1:23" hidden="1"/>
    <row r="60" spans="1:23" hidden="1"/>
    <row r="61" spans="1:23" hidden="1"/>
    <row r="62" spans="1:23" hidden="1"/>
    <row r="63" spans="1:23">
      <c r="J63" s="9" t="s">
        <v>259</v>
      </c>
    </row>
    <row r="64" spans="1:23">
      <c r="J64" s="16" t="s">
        <v>262</v>
      </c>
    </row>
    <row r="65" spans="7:18">
      <c r="J65" s="16" t="s">
        <v>265</v>
      </c>
    </row>
    <row r="66" spans="7:18"/>
    <row r="67" spans="7:18"/>
    <row r="68" spans="7:18">
      <c r="G68" s="16" t="s">
        <v>256</v>
      </c>
      <c r="L68" s="3">
        <v>9.0370000000000008</v>
      </c>
      <c r="M68" s="178">
        <v>9.1</v>
      </c>
      <c r="N68" s="3">
        <v>8.9220000000000006</v>
      </c>
      <c r="O68" s="16">
        <v>9.0730000000000004</v>
      </c>
      <c r="P68" s="16">
        <v>9.5809999999999995</v>
      </c>
    </row>
    <row r="69" spans="7:18">
      <c r="G69" s="16" t="s">
        <v>261</v>
      </c>
      <c r="L69" s="178">
        <v>8.3830399999999994</v>
      </c>
      <c r="M69" s="178">
        <v>8.3540399999999995</v>
      </c>
      <c r="N69" s="178">
        <v>8.0152800000000006</v>
      </c>
      <c r="O69" s="178">
        <v>7.8464700000000001</v>
      </c>
      <c r="P69" s="178">
        <v>8.0285600000000006</v>
      </c>
    </row>
    <row r="70" spans="7:18">
      <c r="G70" s="16" t="s">
        <v>263</v>
      </c>
      <c r="L70" s="178">
        <f>9.199-R70</f>
        <v>8.2712000000000003</v>
      </c>
      <c r="M70" s="178">
        <f>13.185-R70</f>
        <v>12.257200000000001</v>
      </c>
      <c r="N70" s="178">
        <f>13.085-R70</f>
        <v>12.157200000000001</v>
      </c>
      <c r="O70" s="178">
        <f>15.841-R70</f>
        <v>14.9132</v>
      </c>
      <c r="P70" s="181">
        <f>15.6-R70</f>
        <v>14.6722</v>
      </c>
      <c r="R70" s="178">
        <f>4.639/5</f>
        <v>0.92780000000000007</v>
      </c>
    </row>
    <row r="71" spans="7:18">
      <c r="G71" s="16" t="s">
        <v>264</v>
      </c>
      <c r="L71" s="178">
        <f>L70-L68</f>
        <v>-0.76580000000000048</v>
      </c>
      <c r="M71" s="178">
        <f t="shared" ref="M71:P71" si="3">M70-M68</f>
        <v>3.1572000000000013</v>
      </c>
      <c r="N71" s="178">
        <f t="shared" si="3"/>
        <v>3.2352000000000007</v>
      </c>
      <c r="O71" s="178">
        <f t="shared" si="3"/>
        <v>5.8401999999999994</v>
      </c>
      <c r="P71" s="178">
        <f t="shared" si="3"/>
        <v>5.0912000000000006</v>
      </c>
    </row>
    <row r="72" spans="7:18">
      <c r="G72" s="16"/>
      <c r="O72" s="179"/>
    </row>
    <row r="73" spans="7:18">
      <c r="G73" s="16" t="s">
        <v>257</v>
      </c>
      <c r="L73" s="180">
        <f>263.274+L70</f>
        <v>271.54520000000002</v>
      </c>
      <c r="M73" s="180">
        <f>267.293+M70</f>
        <v>279.55020000000002</v>
      </c>
      <c r="N73" s="180">
        <f>271.171+13.085</f>
        <v>284.25599999999997</v>
      </c>
      <c r="O73" s="180">
        <f>272.567+15.841</f>
        <v>288.40800000000002</v>
      </c>
      <c r="P73" s="179">
        <f>287.557+15.5-17</f>
        <v>286.05700000000002</v>
      </c>
    </row>
    <row r="74" spans="7:18">
      <c r="G74" s="16" t="s">
        <v>260</v>
      </c>
      <c r="L74" s="180">
        <f>L73-L71</f>
        <v>272.31100000000004</v>
      </c>
      <c r="M74" s="180">
        <f t="shared" ref="M74:P74" si="4">M73-M71</f>
        <v>276.39300000000003</v>
      </c>
      <c r="N74" s="180">
        <f t="shared" si="4"/>
        <v>281.02079999999995</v>
      </c>
      <c r="O74" s="180">
        <f t="shared" si="4"/>
        <v>282.56780000000003</v>
      </c>
      <c r="P74" s="180">
        <f t="shared" si="4"/>
        <v>280.9658</v>
      </c>
      <c r="Q74" s="180"/>
      <c r="R74" s="16" t="s">
        <v>258</v>
      </c>
    </row>
    <row r="75" spans="7:18">
      <c r="L75" s="180"/>
      <c r="M75" s="180"/>
    </row>
    <row r="76" spans="7:18"/>
  </sheetData>
  <dataValidations disablePrompts="1" count="2">
    <dataValidation type="list" allowBlank="1" showInputMessage="1" showErrorMessage="1" sqref="G11">
      <formula1>"WaSC,WOC"</formula1>
    </dataValidation>
    <dataValidation type="list" allowBlank="1" showInputMessage="1" showErrorMessage="1" sqref="G12">
      <formula1>"True,False"</formula1>
    </dataValidation>
  </dataValidation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Z65"/>
  <sheetViews>
    <sheetView showGridLines="0" zoomScale="80" zoomScaleNormal="80" workbookViewId="0">
      <pane xSplit="5" ySplit="5" topLeftCell="F6" activePane="bottomRight" state="frozen"/>
      <selection activeCell="A20" sqref="A20"/>
      <selection pane="topRight" activeCell="A20" sqref="A20"/>
      <selection pane="bottomLeft" activeCell="A20" sqref="A20"/>
      <selection pane="bottomRight" activeCell="L21" sqref="L21"/>
    </sheetView>
  </sheetViews>
  <sheetFormatPr defaultColWidth="0" defaultRowHeight="0" customHeight="1" zeroHeight="1"/>
  <cols>
    <col min="1" max="3" width="4.7109375" style="44" customWidth="1"/>
    <col min="4" max="4" width="11.7109375" style="44" customWidth="1"/>
    <col min="5" max="5" width="53.140625" style="44" customWidth="1"/>
    <col min="6" max="7" width="2.7109375" style="44" customWidth="1"/>
    <col min="8" max="21" width="11" style="44" customWidth="1"/>
    <col min="22" max="22" width="35.28515625" style="45" customWidth="1"/>
    <col min="23" max="26" width="8.85546875" style="44" hidden="1" customWidth="1"/>
    <col min="27" max="259" width="0" style="44" hidden="1" customWidth="1"/>
    <col min="260" max="16384" width="0" style="44" hidden="1"/>
  </cols>
  <sheetData>
    <row r="1" spans="1:24" s="98" customFormat="1" ht="33.75">
      <c r="A1" s="111"/>
      <c r="B1" s="111"/>
      <c r="C1" s="110"/>
      <c r="D1" s="109" t="s">
        <v>112</v>
      </c>
      <c r="E1" s="109"/>
      <c r="F1" s="109"/>
      <c r="G1" s="109"/>
      <c r="H1" s="109"/>
      <c r="I1" s="107"/>
      <c r="J1" s="107"/>
      <c r="K1" s="108"/>
      <c r="L1" s="108"/>
      <c r="M1" s="107"/>
      <c r="N1" s="107"/>
      <c r="O1" s="107"/>
      <c r="P1" s="107"/>
      <c r="Q1" s="107"/>
      <c r="R1" s="107"/>
      <c r="S1" s="107"/>
      <c r="T1" s="107"/>
      <c r="U1" s="106"/>
      <c r="V1" s="105"/>
      <c r="W1" s="100"/>
      <c r="X1" s="99"/>
    </row>
    <row r="2" spans="1:24" s="98" customFormat="1" ht="12.75">
      <c r="A2" s="50"/>
      <c r="B2" s="54"/>
      <c r="C2" s="71"/>
      <c r="D2" s="54"/>
      <c r="E2" s="65"/>
      <c r="F2" s="65"/>
      <c r="G2" s="65"/>
      <c r="H2" s="104"/>
      <c r="I2" s="103"/>
      <c r="J2" s="103"/>
      <c r="K2" s="103"/>
      <c r="L2" s="103"/>
      <c r="M2" s="103"/>
      <c r="S2" s="102"/>
      <c r="T2" s="102"/>
      <c r="U2" s="101"/>
      <c r="V2" s="44"/>
      <c r="W2" s="100"/>
      <c r="X2" s="99"/>
    </row>
    <row r="3" spans="1:24" s="93" customFormat="1" ht="15">
      <c r="A3" s="85"/>
      <c r="B3" s="88"/>
      <c r="C3" s="89"/>
      <c r="D3" s="88"/>
      <c r="E3" s="97" t="s">
        <v>57</v>
      </c>
      <c r="F3" s="97"/>
      <c r="G3" s="97"/>
      <c r="H3" s="95" t="s">
        <v>113</v>
      </c>
      <c r="I3" s="95" t="str">
        <f t="shared" ref="I3:U3" si="0">AMP.Years</f>
        <v>2012-13</v>
      </c>
      <c r="J3" s="95" t="str">
        <f t="shared" si="0"/>
        <v>2013-14</v>
      </c>
      <c r="K3" s="95" t="str">
        <f t="shared" si="0"/>
        <v>2014-15</v>
      </c>
      <c r="L3" s="96" t="str">
        <f t="shared" si="0"/>
        <v>2015-16</v>
      </c>
      <c r="M3" s="96" t="str">
        <f t="shared" si="0"/>
        <v>2016-17</v>
      </c>
      <c r="N3" s="96" t="str">
        <f t="shared" si="0"/>
        <v>2017-18</v>
      </c>
      <c r="O3" s="96" t="str">
        <f t="shared" si="0"/>
        <v>2018-19</v>
      </c>
      <c r="P3" s="96" t="str">
        <f t="shared" si="0"/>
        <v>2019-20</v>
      </c>
      <c r="Q3" s="95" t="str">
        <f t="shared" si="0"/>
        <v>2020-21</v>
      </c>
      <c r="R3" s="95" t="str">
        <f t="shared" si="0"/>
        <v>2021-22</v>
      </c>
      <c r="S3" s="95" t="str">
        <f t="shared" si="0"/>
        <v>2022-23</v>
      </c>
      <c r="T3" s="95" t="str">
        <f t="shared" si="0"/>
        <v>2023-24</v>
      </c>
      <c r="U3" s="95" t="str">
        <f t="shared" si="0"/>
        <v>2024-25</v>
      </c>
      <c r="V3" s="94"/>
    </row>
    <row r="4" spans="1:24" s="90" customFormat="1" ht="18" customHeight="1">
      <c r="A4" s="50"/>
      <c r="B4" s="54"/>
      <c r="C4" s="71"/>
      <c r="D4" s="54"/>
      <c r="E4" s="92"/>
      <c r="F4" s="92"/>
      <c r="G4" s="92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91"/>
    </row>
    <row r="5" spans="1:24" s="85" customFormat="1" ht="12.75">
      <c r="B5" s="88"/>
      <c r="C5" s="89"/>
      <c r="D5" s="88"/>
      <c r="E5" s="88" t="s">
        <v>114</v>
      </c>
      <c r="F5" s="88"/>
      <c r="G5" s="88"/>
      <c r="H5" s="87">
        <v>2011</v>
      </c>
      <c r="I5" s="87">
        <f t="shared" ref="I5:U5" si="1">Calendar.Years</f>
        <v>2012</v>
      </c>
      <c r="J5" s="87">
        <f t="shared" si="1"/>
        <v>2013</v>
      </c>
      <c r="K5" s="87">
        <f t="shared" si="1"/>
        <v>2014</v>
      </c>
      <c r="L5" s="87">
        <f t="shared" si="1"/>
        <v>2015</v>
      </c>
      <c r="M5" s="87">
        <f t="shared" si="1"/>
        <v>2016</v>
      </c>
      <c r="N5" s="87">
        <f t="shared" si="1"/>
        <v>2017</v>
      </c>
      <c r="O5" s="87">
        <f t="shared" si="1"/>
        <v>2018</v>
      </c>
      <c r="P5" s="87">
        <f t="shared" si="1"/>
        <v>2019</v>
      </c>
      <c r="Q5" s="87">
        <f t="shared" si="1"/>
        <v>2020</v>
      </c>
      <c r="R5" s="87">
        <f t="shared" si="1"/>
        <v>2021</v>
      </c>
      <c r="S5" s="87">
        <f t="shared" si="1"/>
        <v>2022</v>
      </c>
      <c r="T5" s="87">
        <f t="shared" si="1"/>
        <v>2023</v>
      </c>
      <c r="U5" s="87">
        <f t="shared" si="1"/>
        <v>2024</v>
      </c>
      <c r="V5" s="86"/>
    </row>
    <row r="6" spans="1:24" s="50" customFormat="1" ht="12.75">
      <c r="B6" s="54"/>
      <c r="C6" s="71"/>
      <c r="D6" s="54"/>
      <c r="E6" s="84" t="s">
        <v>59</v>
      </c>
      <c r="F6" s="54"/>
      <c r="G6" s="54"/>
      <c r="H6" s="83">
        <v>-3</v>
      </c>
      <c r="I6" s="83">
        <v>-2</v>
      </c>
      <c r="J6" s="83">
        <v>-1</v>
      </c>
      <c r="K6" s="83">
        <v>0</v>
      </c>
      <c r="L6" s="83">
        <v>1</v>
      </c>
      <c r="M6" s="83">
        <v>2</v>
      </c>
      <c r="N6" s="83">
        <v>3</v>
      </c>
      <c r="O6" s="83">
        <v>4</v>
      </c>
      <c r="P6" s="83">
        <v>5</v>
      </c>
      <c r="Q6" s="83">
        <v>6</v>
      </c>
      <c r="R6" s="83">
        <v>7</v>
      </c>
      <c r="S6" s="83">
        <v>8</v>
      </c>
      <c r="T6" s="83">
        <v>9</v>
      </c>
      <c r="U6" s="83">
        <v>10</v>
      </c>
      <c r="V6" s="51"/>
    </row>
    <row r="7" spans="1:24" s="50" customFormat="1" ht="12.75" customHeight="1">
      <c r="B7" s="54"/>
      <c r="C7" s="71"/>
      <c r="D7" s="54"/>
      <c r="F7" s="70"/>
      <c r="G7" s="70"/>
      <c r="I7" s="69" t="s">
        <v>115</v>
      </c>
      <c r="J7" s="69" t="s">
        <v>115</v>
      </c>
      <c r="K7" s="69" t="s">
        <v>115</v>
      </c>
      <c r="L7" s="69" t="s">
        <v>115</v>
      </c>
      <c r="M7" s="69" t="s">
        <v>115</v>
      </c>
      <c r="N7" s="69" t="s">
        <v>115</v>
      </c>
      <c r="O7" s="69" t="s">
        <v>115</v>
      </c>
      <c r="P7" s="69" t="s">
        <v>115</v>
      </c>
      <c r="Q7" s="69" t="s">
        <v>115</v>
      </c>
      <c r="R7" s="69" t="s">
        <v>115</v>
      </c>
      <c r="S7" s="69" t="s">
        <v>115</v>
      </c>
      <c r="T7" s="69" t="s">
        <v>115</v>
      </c>
      <c r="U7" s="69" t="s">
        <v>115</v>
      </c>
      <c r="V7" s="51"/>
    </row>
    <row r="8" spans="1:24" s="50" customFormat="1" ht="12.75" customHeight="1">
      <c r="A8" s="82"/>
      <c r="B8" s="81"/>
      <c r="C8" s="81"/>
      <c r="D8" s="79"/>
      <c r="E8" s="80" t="s">
        <v>46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4" s="50" customFormat="1" ht="12.75" customHeight="1">
      <c r="B9" s="54"/>
      <c r="C9" s="71"/>
      <c r="D9" s="54"/>
      <c r="E9" s="70"/>
      <c r="F9" s="70"/>
      <c r="G9" s="70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51"/>
    </row>
    <row r="10" spans="1:24" s="50" customFormat="1" ht="12.75" customHeight="1">
      <c r="B10" s="54"/>
      <c r="C10" s="71"/>
      <c r="D10" s="54"/>
      <c r="E10" s="70" t="s">
        <v>116</v>
      </c>
      <c r="F10" s="70"/>
      <c r="G10" s="70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1"/>
    </row>
    <row r="11" spans="1:24" s="50" customFormat="1" ht="12.75">
      <c r="B11" s="67">
        <v>1</v>
      </c>
      <c r="C11" s="71"/>
      <c r="D11" s="54" t="s">
        <v>117</v>
      </c>
      <c r="E11" s="63" t="s">
        <v>118</v>
      </c>
      <c r="F11" s="63"/>
      <c r="G11" s="63"/>
      <c r="I11" s="78">
        <v>242.5</v>
      </c>
      <c r="J11" s="78">
        <v>249.5</v>
      </c>
      <c r="K11" s="78">
        <v>255.7</v>
      </c>
      <c r="L11" s="78">
        <v>258</v>
      </c>
      <c r="M11" s="78">
        <v>261.39999999999998</v>
      </c>
      <c r="N11" s="78">
        <v>270.60000000000002</v>
      </c>
      <c r="O11" s="78">
        <v>279.7</v>
      </c>
      <c r="P11" s="78">
        <v>288.2</v>
      </c>
      <c r="Q11" s="78">
        <v>296.7</v>
      </c>
      <c r="R11" s="78">
        <v>305.60000000000002</v>
      </c>
      <c r="S11" s="78">
        <v>314.8</v>
      </c>
      <c r="T11" s="78">
        <v>324.2</v>
      </c>
      <c r="U11" s="78">
        <v>333.9</v>
      </c>
      <c r="V11" s="51"/>
    </row>
    <row r="12" spans="1:24" s="50" customFormat="1" ht="12.75">
      <c r="B12" s="67">
        <v>2</v>
      </c>
      <c r="C12" s="71"/>
      <c r="D12" s="54" t="s">
        <v>117</v>
      </c>
      <c r="E12" s="63" t="s">
        <v>119</v>
      </c>
      <c r="F12" s="63"/>
      <c r="G12" s="63"/>
      <c r="I12" s="78">
        <v>242.4</v>
      </c>
      <c r="J12" s="78">
        <v>250</v>
      </c>
      <c r="K12" s="78">
        <v>255.9</v>
      </c>
      <c r="L12" s="78">
        <v>258.5</v>
      </c>
      <c r="M12" s="78">
        <v>262.10000000000002</v>
      </c>
      <c r="N12" s="78">
        <v>271.7</v>
      </c>
      <c r="O12" s="78">
        <v>280.7</v>
      </c>
      <c r="P12" s="78">
        <v>289.2</v>
      </c>
      <c r="Q12" s="78">
        <v>297.8</v>
      </c>
      <c r="R12" s="78">
        <v>306.7</v>
      </c>
      <c r="S12" s="78">
        <v>315.89999999999998</v>
      </c>
      <c r="T12" s="78">
        <v>325.39999999999998</v>
      </c>
      <c r="U12" s="78">
        <v>335.2</v>
      </c>
      <c r="V12" s="51"/>
    </row>
    <row r="13" spans="1:24" s="50" customFormat="1" ht="12.75">
      <c r="B13" s="67">
        <v>3</v>
      </c>
      <c r="C13" s="71"/>
      <c r="D13" s="54" t="s">
        <v>117</v>
      </c>
      <c r="E13" s="63" t="s">
        <v>120</v>
      </c>
      <c r="F13" s="63"/>
      <c r="G13" s="63"/>
      <c r="I13" s="78">
        <v>241.8</v>
      </c>
      <c r="J13" s="78">
        <v>249.7</v>
      </c>
      <c r="K13" s="78">
        <v>256.3</v>
      </c>
      <c r="L13" s="78">
        <v>258.89999999999998</v>
      </c>
      <c r="M13" s="78">
        <v>263.10000000000002</v>
      </c>
      <c r="N13" s="78">
        <v>272.3</v>
      </c>
      <c r="O13" s="78">
        <v>281.5</v>
      </c>
      <c r="P13" s="78">
        <v>289.89999999999998</v>
      </c>
      <c r="Q13" s="78">
        <v>298.60000000000002</v>
      </c>
      <c r="R13" s="78">
        <v>307.60000000000002</v>
      </c>
      <c r="S13" s="78">
        <v>316.8</v>
      </c>
      <c r="T13" s="78">
        <v>326.3</v>
      </c>
      <c r="U13" s="78">
        <v>336.1</v>
      </c>
      <c r="V13" s="51"/>
    </row>
    <row r="14" spans="1:24" s="50" customFormat="1" ht="12.75">
      <c r="B14" s="67">
        <v>4</v>
      </c>
      <c r="C14" s="71"/>
      <c r="D14" s="54" t="s">
        <v>117</v>
      </c>
      <c r="E14" s="63" t="s">
        <v>121</v>
      </c>
      <c r="F14" s="63"/>
      <c r="G14" s="63"/>
      <c r="I14" s="78">
        <v>242.1</v>
      </c>
      <c r="J14" s="78">
        <v>249.7</v>
      </c>
      <c r="K14" s="78">
        <v>256</v>
      </c>
      <c r="L14" s="78">
        <v>258.60000000000002</v>
      </c>
      <c r="M14" s="78">
        <v>263.39999999999998</v>
      </c>
      <c r="N14" s="78">
        <v>272.89999999999998</v>
      </c>
      <c r="O14" s="78">
        <v>281.7</v>
      </c>
      <c r="P14" s="78">
        <v>290.2</v>
      </c>
      <c r="Q14" s="78">
        <v>298.89999999999998</v>
      </c>
      <c r="R14" s="78">
        <v>307.89999999999998</v>
      </c>
      <c r="S14" s="78">
        <v>317.10000000000002</v>
      </c>
      <c r="T14" s="78">
        <v>326.60000000000002</v>
      </c>
      <c r="U14" s="78">
        <v>336.4</v>
      </c>
      <c r="V14" s="51"/>
    </row>
    <row r="15" spans="1:24" s="50" customFormat="1" ht="12.75">
      <c r="B15" s="67">
        <v>5</v>
      </c>
      <c r="C15" s="71"/>
      <c r="D15" s="54" t="s">
        <v>117</v>
      </c>
      <c r="E15" s="63" t="s">
        <v>122</v>
      </c>
      <c r="F15" s="63"/>
      <c r="G15" s="63"/>
      <c r="I15" s="78">
        <v>243</v>
      </c>
      <c r="J15" s="78">
        <v>251</v>
      </c>
      <c r="K15" s="78">
        <v>257</v>
      </c>
      <c r="L15" s="78">
        <v>259.8</v>
      </c>
      <c r="M15" s="78">
        <v>264.39999999999998</v>
      </c>
      <c r="N15" s="78">
        <v>274.7</v>
      </c>
      <c r="O15" s="78">
        <v>284.2</v>
      </c>
      <c r="P15" s="78">
        <v>292.7</v>
      </c>
      <c r="Q15" s="78">
        <v>301.5</v>
      </c>
      <c r="R15" s="78">
        <v>310.5</v>
      </c>
      <c r="S15" s="78">
        <v>319.8</v>
      </c>
      <c r="T15" s="78">
        <v>329.4</v>
      </c>
      <c r="U15" s="78">
        <v>339.3</v>
      </c>
      <c r="V15" s="51"/>
    </row>
    <row r="16" spans="1:24" s="50" customFormat="1" ht="12.75">
      <c r="B16" s="67">
        <v>6</v>
      </c>
      <c r="C16" s="71"/>
      <c r="D16" s="54" t="s">
        <v>117</v>
      </c>
      <c r="E16" s="63" t="s">
        <v>123</v>
      </c>
      <c r="F16" s="63"/>
      <c r="G16" s="63"/>
      <c r="I16" s="78">
        <v>244.2</v>
      </c>
      <c r="J16" s="78">
        <v>251.9</v>
      </c>
      <c r="K16" s="78">
        <v>257.60000000000002</v>
      </c>
      <c r="L16" s="78">
        <v>259.60000000000002</v>
      </c>
      <c r="M16" s="78">
        <v>264.89999999999998</v>
      </c>
      <c r="N16" s="78">
        <v>275.10000000000002</v>
      </c>
      <c r="O16" s="78">
        <v>284.10000000000002</v>
      </c>
      <c r="P16" s="78">
        <v>292.60000000000002</v>
      </c>
      <c r="Q16" s="78">
        <v>301.39999999999998</v>
      </c>
      <c r="R16" s="78">
        <v>310.39999999999998</v>
      </c>
      <c r="S16" s="78">
        <v>319.7</v>
      </c>
      <c r="T16" s="78">
        <v>329.3</v>
      </c>
      <c r="U16" s="78">
        <v>339.2</v>
      </c>
      <c r="V16" s="51"/>
    </row>
    <row r="17" spans="2:22" s="50" customFormat="1" ht="12.75">
      <c r="B17" s="67">
        <v>7</v>
      </c>
      <c r="C17" s="71"/>
      <c r="D17" s="54" t="s">
        <v>117</v>
      </c>
      <c r="E17" s="63" t="s">
        <v>124</v>
      </c>
      <c r="F17" s="63"/>
      <c r="G17" s="63"/>
      <c r="I17" s="78">
        <v>245.6</v>
      </c>
      <c r="J17" s="78">
        <v>251.9</v>
      </c>
      <c r="K17" s="78">
        <v>257.7</v>
      </c>
      <c r="L17" s="78">
        <v>259.5</v>
      </c>
      <c r="M17" s="78">
        <v>264.8</v>
      </c>
      <c r="N17" s="78">
        <v>275.3</v>
      </c>
      <c r="O17" s="78">
        <v>284.5</v>
      </c>
      <c r="P17" s="78">
        <v>293</v>
      </c>
      <c r="Q17" s="78">
        <v>301.8</v>
      </c>
      <c r="R17" s="78">
        <v>310.89999999999998</v>
      </c>
      <c r="S17" s="78">
        <v>320.2</v>
      </c>
      <c r="T17" s="78">
        <v>329.8</v>
      </c>
      <c r="U17" s="78">
        <v>339.7</v>
      </c>
      <c r="V17" s="51"/>
    </row>
    <row r="18" spans="2:22" s="50" customFormat="1" ht="12.75">
      <c r="B18" s="67">
        <v>8</v>
      </c>
      <c r="C18" s="71"/>
      <c r="D18" s="54" t="s">
        <v>117</v>
      </c>
      <c r="E18" s="63" t="s">
        <v>125</v>
      </c>
      <c r="F18" s="63"/>
      <c r="G18" s="63"/>
      <c r="H18" s="78">
        <v>238.5</v>
      </c>
      <c r="I18" s="78">
        <v>245.6</v>
      </c>
      <c r="J18" s="78">
        <v>252.1</v>
      </c>
      <c r="K18" s="78">
        <v>257.10000000000002</v>
      </c>
      <c r="L18" s="78">
        <v>259.8</v>
      </c>
      <c r="M18" s="78">
        <v>265.5</v>
      </c>
      <c r="N18" s="78">
        <v>275.8</v>
      </c>
      <c r="O18" s="78">
        <v>284.60000000000002</v>
      </c>
      <c r="P18" s="78">
        <v>293.10000000000002</v>
      </c>
      <c r="Q18" s="78">
        <v>301.89999999999998</v>
      </c>
      <c r="R18" s="78">
        <v>311</v>
      </c>
      <c r="S18" s="78">
        <v>320.3</v>
      </c>
      <c r="T18" s="78">
        <v>329.9</v>
      </c>
      <c r="U18" s="78">
        <v>339.8</v>
      </c>
      <c r="V18" s="51"/>
    </row>
    <row r="19" spans="2:22" s="50" customFormat="1" ht="12.75">
      <c r="B19" s="67">
        <v>9</v>
      </c>
      <c r="C19" s="71"/>
      <c r="D19" s="54" t="s">
        <v>117</v>
      </c>
      <c r="E19" s="63" t="s">
        <v>126</v>
      </c>
      <c r="F19" s="63"/>
      <c r="G19" s="63"/>
      <c r="I19" s="78">
        <v>246.8</v>
      </c>
      <c r="J19" s="78">
        <v>253.4</v>
      </c>
      <c r="K19" s="78">
        <v>257.5</v>
      </c>
      <c r="L19" s="78">
        <v>260.60000000000002</v>
      </c>
      <c r="M19" s="78">
        <v>267.10000000000002</v>
      </c>
      <c r="N19" s="78">
        <v>278.10000000000002</v>
      </c>
      <c r="O19" s="78">
        <v>285.60000000000002</v>
      </c>
      <c r="P19" s="78">
        <v>294.2</v>
      </c>
      <c r="Q19" s="78">
        <v>303</v>
      </c>
      <c r="R19" s="78">
        <v>312.10000000000002</v>
      </c>
      <c r="S19" s="78">
        <v>321.5</v>
      </c>
      <c r="T19" s="78">
        <v>331.1</v>
      </c>
      <c r="U19" s="78">
        <v>341</v>
      </c>
      <c r="V19" s="51"/>
    </row>
    <row r="20" spans="2:22" s="50" customFormat="1" ht="12.75">
      <c r="B20" s="67">
        <v>10</v>
      </c>
      <c r="C20" s="71"/>
      <c r="D20" s="54" t="s">
        <v>117</v>
      </c>
      <c r="E20" s="63" t="s">
        <v>127</v>
      </c>
      <c r="F20" s="63"/>
      <c r="G20" s="63"/>
      <c r="I20" s="78">
        <v>245.8</v>
      </c>
      <c r="J20" s="78">
        <v>252.6</v>
      </c>
      <c r="K20" s="78">
        <v>255.4</v>
      </c>
      <c r="L20" s="78">
        <v>258.8</v>
      </c>
      <c r="M20" s="78">
        <v>265.5</v>
      </c>
      <c r="N20" s="78">
        <v>276</v>
      </c>
      <c r="O20" s="78">
        <v>283</v>
      </c>
      <c r="P20" s="78">
        <v>291.5</v>
      </c>
      <c r="Q20" s="78">
        <v>300.2</v>
      </c>
      <c r="R20" s="78">
        <v>309.2</v>
      </c>
      <c r="S20" s="78">
        <v>318.5</v>
      </c>
      <c r="T20" s="78">
        <v>328.1</v>
      </c>
      <c r="U20" s="78">
        <v>337.9</v>
      </c>
      <c r="V20" s="51"/>
    </row>
    <row r="21" spans="2:22" s="50" customFormat="1" ht="12.75">
      <c r="B21" s="67">
        <v>11</v>
      </c>
      <c r="C21" s="71"/>
      <c r="D21" s="54" t="s">
        <v>117</v>
      </c>
      <c r="E21" s="63" t="s">
        <v>128</v>
      </c>
      <c r="F21" s="63"/>
      <c r="G21" s="63"/>
      <c r="I21" s="78">
        <v>247.6</v>
      </c>
      <c r="J21" s="78">
        <v>254.2</v>
      </c>
      <c r="K21" s="78">
        <v>256.7</v>
      </c>
      <c r="L21" s="78">
        <v>260</v>
      </c>
      <c r="M21" s="78">
        <v>268.39999999999998</v>
      </c>
      <c r="N21" s="78">
        <v>278.10000000000002</v>
      </c>
      <c r="O21" s="78">
        <v>285</v>
      </c>
      <c r="P21" s="78">
        <v>295</v>
      </c>
      <c r="Q21" s="78">
        <v>303.89999999999998</v>
      </c>
      <c r="R21" s="78">
        <v>313</v>
      </c>
      <c r="S21" s="78">
        <v>322.39999999999998</v>
      </c>
      <c r="T21" s="78">
        <v>332.1</v>
      </c>
      <c r="U21" s="78">
        <v>342.1</v>
      </c>
      <c r="V21" s="51"/>
    </row>
    <row r="22" spans="2:22" s="50" customFormat="1" ht="12.75">
      <c r="B22" s="67">
        <v>12</v>
      </c>
      <c r="C22" s="71"/>
      <c r="D22" s="54" t="s">
        <v>117</v>
      </c>
      <c r="E22" s="63" t="s">
        <v>129</v>
      </c>
      <c r="F22" s="63"/>
      <c r="G22" s="63"/>
      <c r="I22" s="78">
        <v>248.7</v>
      </c>
      <c r="J22" s="78">
        <v>254.8</v>
      </c>
      <c r="K22" s="78">
        <v>257.10000000000002</v>
      </c>
      <c r="L22" s="78">
        <v>261.10000000000002</v>
      </c>
      <c r="M22" s="78">
        <v>269.3</v>
      </c>
      <c r="N22" s="78">
        <v>278.3</v>
      </c>
      <c r="O22" s="78">
        <v>285.10000000000002</v>
      </c>
      <c r="P22" s="78">
        <v>295.2</v>
      </c>
      <c r="Q22" s="78">
        <v>304.10000000000002</v>
      </c>
      <c r="R22" s="78">
        <v>313.2</v>
      </c>
      <c r="S22" s="78">
        <v>322.60000000000002</v>
      </c>
      <c r="T22" s="78">
        <v>332.3</v>
      </c>
      <c r="U22" s="78">
        <v>342.3</v>
      </c>
      <c r="V22" s="51"/>
    </row>
    <row r="23" spans="2:22" s="72" customFormat="1" ht="12.75">
      <c r="B23" s="53"/>
      <c r="C23" s="75"/>
      <c r="D23" s="53"/>
      <c r="E23" s="53"/>
      <c r="F23" s="53"/>
      <c r="G23" s="53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3"/>
    </row>
    <row r="24" spans="2:22" s="72" customFormat="1" ht="25.5">
      <c r="B24" s="53"/>
      <c r="C24" s="75"/>
      <c r="D24" s="53" t="s">
        <v>130</v>
      </c>
      <c r="E24" s="160" t="s">
        <v>231</v>
      </c>
      <c r="F24" s="53"/>
      <c r="G24" s="53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3"/>
    </row>
    <row r="25" spans="2:22" s="72" customFormat="1" ht="12.75">
      <c r="B25" s="53"/>
      <c r="C25" s="75"/>
      <c r="D25" s="53"/>
      <c r="E25" s="53"/>
      <c r="F25" s="53"/>
      <c r="G25" s="53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3"/>
    </row>
    <row r="26" spans="2:22" s="72" customFormat="1" ht="12.75">
      <c r="B26" s="53"/>
      <c r="C26" s="75" t="s">
        <v>131</v>
      </c>
      <c r="D26" s="53"/>
      <c r="E26" s="53"/>
      <c r="F26" s="53"/>
      <c r="G26" s="53"/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3" t="s">
        <v>132</v>
      </c>
    </row>
    <row r="27" spans="2:22" s="50" customFormat="1" ht="12.75" customHeight="1">
      <c r="B27" s="54"/>
      <c r="C27" s="71"/>
      <c r="D27" s="54"/>
      <c r="E27" s="54"/>
      <c r="F27" s="54"/>
      <c r="G27" s="54"/>
      <c r="I27" s="69" t="s">
        <v>115</v>
      </c>
      <c r="J27" s="69" t="s">
        <v>115</v>
      </c>
      <c r="K27" s="69" t="s">
        <v>115</v>
      </c>
      <c r="L27" s="69" t="s">
        <v>115</v>
      </c>
      <c r="M27" s="69" t="s">
        <v>115</v>
      </c>
      <c r="N27" s="69" t="s">
        <v>115</v>
      </c>
      <c r="O27" s="69" t="s">
        <v>115</v>
      </c>
      <c r="P27" s="69" t="s">
        <v>115</v>
      </c>
      <c r="Q27" s="69" t="s">
        <v>115</v>
      </c>
      <c r="R27" s="69" t="s">
        <v>115</v>
      </c>
      <c r="S27" s="69" t="s">
        <v>115</v>
      </c>
      <c r="T27" s="69" t="s">
        <v>115</v>
      </c>
      <c r="U27" s="69" t="s">
        <v>115</v>
      </c>
      <c r="V27" s="51"/>
    </row>
    <row r="28" spans="2:22" s="50" customFormat="1" ht="12.75" customHeight="1">
      <c r="B28" s="54"/>
      <c r="D28" s="54"/>
      <c r="E28" s="70" t="s">
        <v>133</v>
      </c>
      <c r="F28" s="70"/>
      <c r="G28" s="7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51"/>
    </row>
    <row r="29" spans="2:22" ht="12.75" customHeight="1">
      <c r="B29" s="67">
        <v>1</v>
      </c>
      <c r="C29" s="65"/>
      <c r="D29" s="64" t="s">
        <v>117</v>
      </c>
      <c r="E29" s="63" t="s">
        <v>118</v>
      </c>
      <c r="F29" s="63"/>
      <c r="G29" s="63"/>
      <c r="H29" s="67">
        <v>0</v>
      </c>
      <c r="I29" s="66">
        <f t="shared" ref="I29:U29" si="2">IF(I11&lt;&gt;0,I11,H29*SUM(1,I$24))</f>
        <v>242.5</v>
      </c>
      <c r="J29" s="66">
        <f t="shared" si="2"/>
        <v>249.5</v>
      </c>
      <c r="K29" s="66">
        <f t="shared" si="2"/>
        <v>255.7</v>
      </c>
      <c r="L29" s="66">
        <f t="shared" si="2"/>
        <v>258</v>
      </c>
      <c r="M29" s="66">
        <f t="shared" si="2"/>
        <v>261.39999999999998</v>
      </c>
      <c r="N29" s="66">
        <f t="shared" si="2"/>
        <v>270.60000000000002</v>
      </c>
      <c r="O29" s="66">
        <f t="shared" si="2"/>
        <v>279.7</v>
      </c>
      <c r="P29" s="66">
        <f t="shared" si="2"/>
        <v>288.2</v>
      </c>
      <c r="Q29" s="66">
        <f t="shared" si="2"/>
        <v>296.7</v>
      </c>
      <c r="R29" s="66">
        <f t="shared" si="2"/>
        <v>305.60000000000002</v>
      </c>
      <c r="S29" s="66">
        <f t="shared" si="2"/>
        <v>314.8</v>
      </c>
      <c r="T29" s="66">
        <f t="shared" si="2"/>
        <v>324.2</v>
      </c>
      <c r="U29" s="66">
        <f t="shared" si="2"/>
        <v>333.9</v>
      </c>
    </row>
    <row r="30" spans="2:22" ht="12.75" customHeight="1">
      <c r="B30" s="67">
        <v>2</v>
      </c>
      <c r="C30" s="65"/>
      <c r="D30" s="64" t="s">
        <v>117</v>
      </c>
      <c r="E30" s="63" t="s">
        <v>119</v>
      </c>
      <c r="F30" s="63"/>
      <c r="G30" s="63"/>
      <c r="H30" s="67">
        <v>0</v>
      </c>
      <c r="I30" s="66">
        <f t="shared" ref="I30:U30" si="3">IF(I12&lt;&gt;0,I12,H30*SUM(1,I$24))</f>
        <v>242.4</v>
      </c>
      <c r="J30" s="66">
        <f t="shared" si="3"/>
        <v>250</v>
      </c>
      <c r="K30" s="66">
        <f t="shared" si="3"/>
        <v>255.9</v>
      </c>
      <c r="L30" s="66">
        <f t="shared" si="3"/>
        <v>258.5</v>
      </c>
      <c r="M30" s="66">
        <f t="shared" si="3"/>
        <v>262.10000000000002</v>
      </c>
      <c r="N30" s="66">
        <f t="shared" si="3"/>
        <v>271.7</v>
      </c>
      <c r="O30" s="66">
        <f t="shared" si="3"/>
        <v>280.7</v>
      </c>
      <c r="P30" s="66">
        <f t="shared" si="3"/>
        <v>289.2</v>
      </c>
      <c r="Q30" s="66">
        <f t="shared" si="3"/>
        <v>297.8</v>
      </c>
      <c r="R30" s="66">
        <f t="shared" si="3"/>
        <v>306.7</v>
      </c>
      <c r="S30" s="66">
        <f t="shared" si="3"/>
        <v>315.89999999999998</v>
      </c>
      <c r="T30" s="66">
        <f t="shared" si="3"/>
        <v>325.39999999999998</v>
      </c>
      <c r="U30" s="66">
        <f t="shared" si="3"/>
        <v>335.2</v>
      </c>
    </row>
    <row r="31" spans="2:22" ht="12.75" customHeight="1">
      <c r="B31" s="67">
        <v>3</v>
      </c>
      <c r="C31" s="65"/>
      <c r="D31" s="64" t="s">
        <v>117</v>
      </c>
      <c r="E31" s="63" t="s">
        <v>120</v>
      </c>
      <c r="F31" s="63"/>
      <c r="G31" s="63"/>
      <c r="H31" s="67">
        <v>0</v>
      </c>
      <c r="I31" s="66">
        <f t="shared" ref="I31:U31" si="4">IF(I13&lt;&gt;0,I13,H31*SUM(1,I$24))</f>
        <v>241.8</v>
      </c>
      <c r="J31" s="66">
        <f t="shared" si="4"/>
        <v>249.7</v>
      </c>
      <c r="K31" s="66">
        <f t="shared" si="4"/>
        <v>256.3</v>
      </c>
      <c r="L31" s="66">
        <f t="shared" si="4"/>
        <v>258.89999999999998</v>
      </c>
      <c r="M31" s="66">
        <f t="shared" si="4"/>
        <v>263.10000000000002</v>
      </c>
      <c r="N31" s="66">
        <f t="shared" si="4"/>
        <v>272.3</v>
      </c>
      <c r="O31" s="66">
        <f t="shared" si="4"/>
        <v>281.5</v>
      </c>
      <c r="P31" s="66">
        <f t="shared" si="4"/>
        <v>289.89999999999998</v>
      </c>
      <c r="Q31" s="66">
        <f t="shared" si="4"/>
        <v>298.60000000000002</v>
      </c>
      <c r="R31" s="66">
        <f t="shared" si="4"/>
        <v>307.60000000000002</v>
      </c>
      <c r="S31" s="66">
        <f t="shared" si="4"/>
        <v>316.8</v>
      </c>
      <c r="T31" s="66">
        <f t="shared" si="4"/>
        <v>326.3</v>
      </c>
      <c r="U31" s="66">
        <f t="shared" si="4"/>
        <v>336.1</v>
      </c>
    </row>
    <row r="32" spans="2:22" ht="12.75" customHeight="1">
      <c r="B32" s="67">
        <v>4</v>
      </c>
      <c r="C32" s="65"/>
      <c r="D32" s="64" t="s">
        <v>117</v>
      </c>
      <c r="E32" s="63" t="s">
        <v>121</v>
      </c>
      <c r="F32" s="63"/>
      <c r="G32" s="63"/>
      <c r="H32" s="67">
        <v>0</v>
      </c>
      <c r="I32" s="66">
        <f t="shared" ref="I32:U32" si="5">IF(I14&lt;&gt;0,I14,H32*SUM(1,I$24))</f>
        <v>242.1</v>
      </c>
      <c r="J32" s="66">
        <f t="shared" si="5"/>
        <v>249.7</v>
      </c>
      <c r="K32" s="66">
        <f t="shared" si="5"/>
        <v>256</v>
      </c>
      <c r="L32" s="66">
        <f t="shared" si="5"/>
        <v>258.60000000000002</v>
      </c>
      <c r="M32" s="66">
        <f t="shared" si="5"/>
        <v>263.39999999999998</v>
      </c>
      <c r="N32" s="66">
        <f t="shared" si="5"/>
        <v>272.89999999999998</v>
      </c>
      <c r="O32" s="66">
        <f t="shared" si="5"/>
        <v>281.7</v>
      </c>
      <c r="P32" s="66">
        <f t="shared" si="5"/>
        <v>290.2</v>
      </c>
      <c r="Q32" s="66">
        <f t="shared" si="5"/>
        <v>298.89999999999998</v>
      </c>
      <c r="R32" s="66">
        <f t="shared" si="5"/>
        <v>307.89999999999998</v>
      </c>
      <c r="S32" s="66">
        <f t="shared" si="5"/>
        <v>317.10000000000002</v>
      </c>
      <c r="T32" s="66">
        <f t="shared" si="5"/>
        <v>326.60000000000002</v>
      </c>
      <c r="U32" s="66">
        <f t="shared" si="5"/>
        <v>336.4</v>
      </c>
    </row>
    <row r="33" spans="2:22" ht="12.75" customHeight="1">
      <c r="B33" s="67">
        <v>5</v>
      </c>
      <c r="C33" s="65"/>
      <c r="D33" s="64" t="s">
        <v>117</v>
      </c>
      <c r="E33" s="63" t="s">
        <v>122</v>
      </c>
      <c r="F33" s="63"/>
      <c r="G33" s="63"/>
      <c r="H33" s="67">
        <v>0</v>
      </c>
      <c r="I33" s="66">
        <f t="shared" ref="I33:U33" si="6">IF(I15&lt;&gt;0,I15,H33*SUM(1,I$24))</f>
        <v>243</v>
      </c>
      <c r="J33" s="66">
        <f t="shared" si="6"/>
        <v>251</v>
      </c>
      <c r="K33" s="66">
        <f t="shared" si="6"/>
        <v>257</v>
      </c>
      <c r="L33" s="66">
        <f t="shared" si="6"/>
        <v>259.8</v>
      </c>
      <c r="M33" s="66">
        <f t="shared" si="6"/>
        <v>264.39999999999998</v>
      </c>
      <c r="N33" s="66">
        <f t="shared" si="6"/>
        <v>274.7</v>
      </c>
      <c r="O33" s="66">
        <f t="shared" si="6"/>
        <v>284.2</v>
      </c>
      <c r="P33" s="66">
        <f t="shared" si="6"/>
        <v>292.7</v>
      </c>
      <c r="Q33" s="66">
        <f t="shared" si="6"/>
        <v>301.5</v>
      </c>
      <c r="R33" s="66">
        <f t="shared" si="6"/>
        <v>310.5</v>
      </c>
      <c r="S33" s="66">
        <f t="shared" si="6"/>
        <v>319.8</v>
      </c>
      <c r="T33" s="66">
        <f t="shared" si="6"/>
        <v>329.4</v>
      </c>
      <c r="U33" s="66">
        <f t="shared" si="6"/>
        <v>339.3</v>
      </c>
    </row>
    <row r="34" spans="2:22" ht="12.75" customHeight="1">
      <c r="B34" s="67">
        <v>6</v>
      </c>
      <c r="C34" s="65"/>
      <c r="D34" s="64" t="s">
        <v>117</v>
      </c>
      <c r="E34" s="63" t="s">
        <v>123</v>
      </c>
      <c r="F34" s="63"/>
      <c r="G34" s="63"/>
      <c r="H34" s="67">
        <v>0</v>
      </c>
      <c r="I34" s="66">
        <f t="shared" ref="I34:U34" si="7">IF(I16&lt;&gt;0,I16,H34*SUM(1,I$24))</f>
        <v>244.2</v>
      </c>
      <c r="J34" s="66">
        <f t="shared" si="7"/>
        <v>251.9</v>
      </c>
      <c r="K34" s="66">
        <f t="shared" si="7"/>
        <v>257.60000000000002</v>
      </c>
      <c r="L34" s="66">
        <f t="shared" si="7"/>
        <v>259.60000000000002</v>
      </c>
      <c r="M34" s="66">
        <f t="shared" si="7"/>
        <v>264.89999999999998</v>
      </c>
      <c r="N34" s="66">
        <f t="shared" si="7"/>
        <v>275.10000000000002</v>
      </c>
      <c r="O34" s="66">
        <f t="shared" si="7"/>
        <v>284.10000000000002</v>
      </c>
      <c r="P34" s="66">
        <f t="shared" si="7"/>
        <v>292.60000000000002</v>
      </c>
      <c r="Q34" s="66">
        <f t="shared" si="7"/>
        <v>301.39999999999998</v>
      </c>
      <c r="R34" s="66">
        <f t="shared" si="7"/>
        <v>310.39999999999998</v>
      </c>
      <c r="S34" s="66">
        <f t="shared" si="7"/>
        <v>319.7</v>
      </c>
      <c r="T34" s="66">
        <f t="shared" si="7"/>
        <v>329.3</v>
      </c>
      <c r="U34" s="66">
        <f t="shared" si="7"/>
        <v>339.2</v>
      </c>
    </row>
    <row r="35" spans="2:22" ht="12.75" customHeight="1">
      <c r="B35" s="67">
        <v>7</v>
      </c>
      <c r="C35" s="65"/>
      <c r="D35" s="64" t="s">
        <v>117</v>
      </c>
      <c r="E35" s="63" t="s">
        <v>124</v>
      </c>
      <c r="F35" s="63"/>
      <c r="G35" s="63"/>
      <c r="H35" s="67">
        <v>0</v>
      </c>
      <c r="I35" s="66">
        <f t="shared" ref="I35:U35" si="8">IF(I17&lt;&gt;0,I17,H35*SUM(1,I$24))</f>
        <v>245.6</v>
      </c>
      <c r="J35" s="66">
        <f t="shared" si="8"/>
        <v>251.9</v>
      </c>
      <c r="K35" s="66">
        <f t="shared" si="8"/>
        <v>257.7</v>
      </c>
      <c r="L35" s="66">
        <f t="shared" si="8"/>
        <v>259.5</v>
      </c>
      <c r="M35" s="66">
        <f t="shared" si="8"/>
        <v>264.8</v>
      </c>
      <c r="N35" s="66">
        <f t="shared" si="8"/>
        <v>275.3</v>
      </c>
      <c r="O35" s="66">
        <f t="shared" si="8"/>
        <v>284.5</v>
      </c>
      <c r="P35" s="66">
        <f t="shared" si="8"/>
        <v>293</v>
      </c>
      <c r="Q35" s="66">
        <f t="shared" si="8"/>
        <v>301.8</v>
      </c>
      <c r="R35" s="66">
        <f t="shared" si="8"/>
        <v>310.89999999999998</v>
      </c>
      <c r="S35" s="66">
        <f t="shared" si="8"/>
        <v>320.2</v>
      </c>
      <c r="T35" s="66">
        <f t="shared" si="8"/>
        <v>329.8</v>
      </c>
      <c r="U35" s="66">
        <f t="shared" si="8"/>
        <v>339.7</v>
      </c>
    </row>
    <row r="36" spans="2:22" ht="12.75" customHeight="1">
      <c r="B36" s="67">
        <v>8</v>
      </c>
      <c r="C36" s="65"/>
      <c r="D36" s="64" t="s">
        <v>117</v>
      </c>
      <c r="E36" s="63" t="s">
        <v>125</v>
      </c>
      <c r="F36" s="63"/>
      <c r="G36" s="63"/>
      <c r="H36" s="68">
        <f>H18</f>
        <v>238.5</v>
      </c>
      <c r="I36" s="66">
        <f t="shared" ref="I36:U36" si="9">IF(I18&lt;&gt;0,I18,H36*SUM(1,I$24))</f>
        <v>245.6</v>
      </c>
      <c r="J36" s="66">
        <f t="shared" si="9"/>
        <v>252.1</v>
      </c>
      <c r="K36" s="66">
        <f t="shared" si="9"/>
        <v>257.10000000000002</v>
      </c>
      <c r="L36" s="66">
        <f t="shared" si="9"/>
        <v>259.8</v>
      </c>
      <c r="M36" s="130">
        <f t="shared" si="9"/>
        <v>265.5</v>
      </c>
      <c r="N36" s="66">
        <f t="shared" si="9"/>
        <v>275.8</v>
      </c>
      <c r="O36" s="66">
        <f t="shared" si="9"/>
        <v>284.60000000000002</v>
      </c>
      <c r="P36" s="66">
        <f t="shared" si="9"/>
        <v>293.10000000000002</v>
      </c>
      <c r="Q36" s="66">
        <f t="shared" si="9"/>
        <v>301.89999999999998</v>
      </c>
      <c r="R36" s="66">
        <f t="shared" si="9"/>
        <v>311</v>
      </c>
      <c r="S36" s="66">
        <f t="shared" si="9"/>
        <v>320.3</v>
      </c>
      <c r="T36" s="66">
        <f t="shared" si="9"/>
        <v>329.9</v>
      </c>
      <c r="U36" s="66">
        <f t="shared" si="9"/>
        <v>339.8</v>
      </c>
    </row>
    <row r="37" spans="2:22" ht="12.75" customHeight="1">
      <c r="B37" s="67">
        <v>9</v>
      </c>
      <c r="C37" s="65"/>
      <c r="D37" s="64" t="s">
        <v>117</v>
      </c>
      <c r="E37" s="63" t="s">
        <v>126</v>
      </c>
      <c r="F37" s="63"/>
      <c r="G37" s="63"/>
      <c r="H37" s="67">
        <v>0</v>
      </c>
      <c r="I37" s="66">
        <f t="shared" ref="I37:U37" si="10">IF(I19&lt;&gt;0,I19,H37*SUM(1,I$24))</f>
        <v>246.8</v>
      </c>
      <c r="J37" s="66">
        <f t="shared" si="10"/>
        <v>253.4</v>
      </c>
      <c r="K37" s="66">
        <f t="shared" si="10"/>
        <v>257.5</v>
      </c>
      <c r="L37" s="66">
        <f t="shared" si="10"/>
        <v>260.60000000000002</v>
      </c>
      <c r="M37" s="66">
        <f t="shared" si="10"/>
        <v>267.10000000000002</v>
      </c>
      <c r="N37" s="66">
        <f t="shared" si="10"/>
        <v>278.10000000000002</v>
      </c>
      <c r="O37" s="66">
        <f t="shared" si="10"/>
        <v>285.60000000000002</v>
      </c>
      <c r="P37" s="66">
        <f t="shared" si="10"/>
        <v>294.2</v>
      </c>
      <c r="Q37" s="66">
        <f t="shared" si="10"/>
        <v>303</v>
      </c>
      <c r="R37" s="66">
        <f t="shared" si="10"/>
        <v>312.10000000000002</v>
      </c>
      <c r="S37" s="66">
        <f t="shared" si="10"/>
        <v>321.5</v>
      </c>
      <c r="T37" s="66">
        <f t="shared" si="10"/>
        <v>331.1</v>
      </c>
      <c r="U37" s="66">
        <f t="shared" si="10"/>
        <v>341</v>
      </c>
    </row>
    <row r="38" spans="2:22" ht="12.75" customHeight="1">
      <c r="B38" s="67">
        <v>10</v>
      </c>
      <c r="C38" s="65"/>
      <c r="D38" s="64" t="s">
        <v>117</v>
      </c>
      <c r="E38" s="63" t="s">
        <v>127</v>
      </c>
      <c r="F38" s="63"/>
      <c r="G38" s="63"/>
      <c r="H38" s="67">
        <v>0</v>
      </c>
      <c r="I38" s="66">
        <f t="shared" ref="I38:U38" si="11">IF(I20&lt;&gt;0,I20,H38*SUM(1,I$24))</f>
        <v>245.8</v>
      </c>
      <c r="J38" s="66">
        <f t="shared" si="11"/>
        <v>252.6</v>
      </c>
      <c r="K38" s="66">
        <f t="shared" si="11"/>
        <v>255.4</v>
      </c>
      <c r="L38" s="66">
        <f t="shared" si="11"/>
        <v>258.8</v>
      </c>
      <c r="M38" s="66">
        <f t="shared" si="11"/>
        <v>265.5</v>
      </c>
      <c r="N38" s="66">
        <f t="shared" si="11"/>
        <v>276</v>
      </c>
      <c r="O38" s="66">
        <f t="shared" si="11"/>
        <v>283</v>
      </c>
      <c r="P38" s="66">
        <f t="shared" si="11"/>
        <v>291.5</v>
      </c>
      <c r="Q38" s="66">
        <f t="shared" si="11"/>
        <v>300.2</v>
      </c>
      <c r="R38" s="66">
        <f t="shared" si="11"/>
        <v>309.2</v>
      </c>
      <c r="S38" s="66">
        <f t="shared" si="11"/>
        <v>318.5</v>
      </c>
      <c r="T38" s="66">
        <f t="shared" si="11"/>
        <v>328.1</v>
      </c>
      <c r="U38" s="66">
        <f t="shared" si="11"/>
        <v>337.9</v>
      </c>
    </row>
    <row r="39" spans="2:22" ht="12.75" customHeight="1">
      <c r="B39" s="67">
        <v>11</v>
      </c>
      <c r="C39" s="65"/>
      <c r="D39" s="64" t="s">
        <v>117</v>
      </c>
      <c r="E39" s="63" t="s">
        <v>128</v>
      </c>
      <c r="F39" s="63"/>
      <c r="G39" s="63"/>
      <c r="H39" s="67">
        <v>0</v>
      </c>
      <c r="I39" s="66">
        <f t="shared" ref="I39:U39" si="12">IF(I21&lt;&gt;0,I21,H39*SUM(1,I$24))</f>
        <v>247.6</v>
      </c>
      <c r="J39" s="66">
        <f t="shared" si="12"/>
        <v>254.2</v>
      </c>
      <c r="K39" s="66">
        <f t="shared" si="12"/>
        <v>256.7</v>
      </c>
      <c r="L39" s="66">
        <f t="shared" si="12"/>
        <v>260</v>
      </c>
      <c r="M39" s="66">
        <f t="shared" si="12"/>
        <v>268.39999999999998</v>
      </c>
      <c r="N39" s="66">
        <f t="shared" si="12"/>
        <v>278.10000000000002</v>
      </c>
      <c r="O39" s="66">
        <f t="shared" si="12"/>
        <v>285</v>
      </c>
      <c r="P39" s="66">
        <f t="shared" si="12"/>
        <v>295</v>
      </c>
      <c r="Q39" s="66">
        <f t="shared" si="12"/>
        <v>303.89999999999998</v>
      </c>
      <c r="R39" s="66">
        <f t="shared" si="12"/>
        <v>313</v>
      </c>
      <c r="S39" s="66">
        <f t="shared" si="12"/>
        <v>322.39999999999998</v>
      </c>
      <c r="T39" s="66">
        <f t="shared" si="12"/>
        <v>332.1</v>
      </c>
      <c r="U39" s="66">
        <f t="shared" si="12"/>
        <v>342.1</v>
      </c>
    </row>
    <row r="40" spans="2:22" ht="12.75" customHeight="1">
      <c r="B40" s="67">
        <v>12</v>
      </c>
      <c r="C40" s="65"/>
      <c r="D40" s="64" t="s">
        <v>117</v>
      </c>
      <c r="E40" s="63" t="s">
        <v>129</v>
      </c>
      <c r="F40" s="63"/>
      <c r="G40" s="63"/>
      <c r="H40" s="67">
        <v>0</v>
      </c>
      <c r="I40" s="66">
        <f t="shared" ref="I40:U40" si="13">IF(I22&lt;&gt;0,I22,H40*SUM(1,I$24))</f>
        <v>248.7</v>
      </c>
      <c r="J40" s="66">
        <f t="shared" si="13"/>
        <v>254.8</v>
      </c>
      <c r="K40" s="66">
        <f t="shared" si="13"/>
        <v>257.10000000000002</v>
      </c>
      <c r="L40" s="66">
        <f t="shared" si="13"/>
        <v>261.10000000000002</v>
      </c>
      <c r="M40" s="66">
        <f t="shared" si="13"/>
        <v>269.3</v>
      </c>
      <c r="N40" s="66">
        <f t="shared" si="13"/>
        <v>278.3</v>
      </c>
      <c r="O40" s="66">
        <f t="shared" si="13"/>
        <v>285.10000000000002</v>
      </c>
      <c r="P40" s="66">
        <f t="shared" si="13"/>
        <v>295.2</v>
      </c>
      <c r="Q40" s="66">
        <f t="shared" si="13"/>
        <v>304.10000000000002</v>
      </c>
      <c r="R40" s="66">
        <f t="shared" si="13"/>
        <v>313.2</v>
      </c>
      <c r="S40" s="66">
        <f t="shared" si="13"/>
        <v>322.60000000000002</v>
      </c>
      <c r="T40" s="66">
        <f t="shared" si="13"/>
        <v>332.3</v>
      </c>
      <c r="U40" s="66">
        <f t="shared" si="13"/>
        <v>342.3</v>
      </c>
    </row>
    <row r="41" spans="2:22" ht="12.75" customHeight="1">
      <c r="B41" s="65"/>
      <c r="C41" s="65"/>
      <c r="D41" s="64" t="s">
        <v>117</v>
      </c>
      <c r="E41" s="63" t="s">
        <v>134</v>
      </c>
      <c r="F41" s="63"/>
      <c r="G41" s="63"/>
      <c r="I41" s="62">
        <f t="shared" ref="I41:U41" si="14">IF(SUM(I29:I40)=0,0,AVERAGE(I29:I40))</f>
        <v>244.67499999999998</v>
      </c>
      <c r="J41" s="61">
        <f t="shared" si="14"/>
        <v>251.73333333333335</v>
      </c>
      <c r="K41" s="61">
        <f t="shared" si="14"/>
        <v>256.66666666666669</v>
      </c>
      <c r="L41" s="62">
        <f t="shared" si="14"/>
        <v>259.43333333333334</v>
      </c>
      <c r="M41" s="61">
        <f t="shared" si="14"/>
        <v>264.99166666666673</v>
      </c>
      <c r="N41" s="61">
        <f t="shared" si="14"/>
        <v>274.90833333333336</v>
      </c>
      <c r="O41" s="61">
        <f t="shared" si="14"/>
        <v>283.30833333333334</v>
      </c>
      <c r="P41" s="61">
        <f t="shared" si="14"/>
        <v>292.06666666666666</v>
      </c>
      <c r="Q41" s="61">
        <f t="shared" si="14"/>
        <v>300.81666666666666</v>
      </c>
      <c r="R41" s="61">
        <f t="shared" si="14"/>
        <v>309.84166666666664</v>
      </c>
      <c r="S41" s="61">
        <f t="shared" si="14"/>
        <v>319.13333333333333</v>
      </c>
      <c r="T41" s="61">
        <f t="shared" si="14"/>
        <v>328.70833333333331</v>
      </c>
      <c r="U41" s="61">
        <f t="shared" si="14"/>
        <v>338.57499999999999</v>
      </c>
    </row>
    <row r="42" spans="2:22" s="50" customFormat="1" ht="12.75" customHeight="1">
      <c r="B42" s="54"/>
      <c r="V42" s="51"/>
    </row>
    <row r="43" spans="2:22" s="50" customFormat="1" ht="12.75" customHeight="1">
      <c r="E43" s="60"/>
      <c r="F43" s="60"/>
      <c r="G43" s="60"/>
      <c r="V43" s="51"/>
    </row>
    <row r="44" spans="2:22" s="50" customFormat="1" ht="12.75" customHeight="1">
      <c r="B44" s="54"/>
      <c r="D44" s="53"/>
      <c r="E44" s="58"/>
      <c r="F44" s="58"/>
      <c r="G44" s="58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51"/>
    </row>
    <row r="45" spans="2:22" s="50" customFormat="1" ht="12.75" customHeight="1">
      <c r="B45" s="54"/>
      <c r="C45" s="56"/>
      <c r="D45" s="53"/>
      <c r="E45" s="55"/>
      <c r="F45" s="55"/>
      <c r="G45" s="55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1"/>
    </row>
    <row r="46" spans="2:22" s="50" customFormat="1" ht="12.75" customHeight="1">
      <c r="B46" s="54"/>
      <c r="C46" s="56"/>
      <c r="D46" s="53"/>
      <c r="E46" s="55"/>
      <c r="F46" s="55"/>
      <c r="G46" s="55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1"/>
    </row>
    <row r="47" spans="2:22" s="50" customFormat="1" ht="12.75" customHeight="1">
      <c r="B47" s="54"/>
      <c r="E47" s="60" t="s">
        <v>138</v>
      </c>
      <c r="F47" s="59"/>
      <c r="G47" s="59"/>
    </row>
    <row r="48" spans="2:22" s="50" customFormat="1" ht="12.75" customHeight="1">
      <c r="B48" s="54"/>
      <c r="D48" s="53" t="s">
        <v>135</v>
      </c>
      <c r="E48" s="58" t="s">
        <v>136</v>
      </c>
      <c r="F48" s="58"/>
      <c r="G48" s="58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1" t="s">
        <v>139</v>
      </c>
    </row>
    <row r="49" spans="1:22" s="50" customFormat="1" ht="12.75" customHeight="1">
      <c r="B49" s="54"/>
      <c r="D49" s="53" t="s">
        <v>130</v>
      </c>
      <c r="E49" s="55" t="s">
        <v>137</v>
      </c>
      <c r="F49" s="58"/>
      <c r="G49" s="58"/>
      <c r="I49" s="52">
        <f t="shared" ref="I49:U49" si="15">IF(Indexation.November.Actual.Override&lt;&gt;"",Indexation.November.Actual.Override,IF($H$36=0,0,H36/$H$36))</f>
        <v>1</v>
      </c>
      <c r="J49" s="52">
        <f t="shared" si="15"/>
        <v>1.0297693920335429</v>
      </c>
      <c r="K49" s="52">
        <f t="shared" si="15"/>
        <v>1.0570230607966458</v>
      </c>
      <c r="L49" s="52">
        <f t="shared" si="15"/>
        <v>1.077987421383648</v>
      </c>
      <c r="M49" s="52">
        <f t="shared" si="15"/>
        <v>1.0893081761006289</v>
      </c>
      <c r="N49" s="52">
        <f t="shared" si="15"/>
        <v>1.1132075471698113</v>
      </c>
      <c r="O49" s="52">
        <f t="shared" si="15"/>
        <v>1.1563941299790357</v>
      </c>
      <c r="P49" s="52">
        <f t="shared" si="15"/>
        <v>1.1932914046121594</v>
      </c>
      <c r="Q49" s="52">
        <f t="shared" si="15"/>
        <v>1.2289308176100631</v>
      </c>
      <c r="R49" s="52">
        <f t="shared" si="15"/>
        <v>1.2658280922431866</v>
      </c>
      <c r="S49" s="52">
        <f t="shared" si="15"/>
        <v>1.3039832285115305</v>
      </c>
      <c r="T49" s="52">
        <f t="shared" si="15"/>
        <v>1.3429769392033544</v>
      </c>
      <c r="U49" s="52">
        <f t="shared" si="15"/>
        <v>1.3832285115303982</v>
      </c>
      <c r="V49" s="51" t="s">
        <v>140</v>
      </c>
    </row>
    <row r="50" spans="1:22" s="102" customFormat="1" ht="12.75" customHeight="1">
      <c r="A50" s="50"/>
      <c r="B50" s="54"/>
      <c r="C50" s="56"/>
      <c r="D50" s="53"/>
      <c r="E50" s="55"/>
      <c r="F50" s="55"/>
      <c r="G50" s="55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1"/>
    </row>
    <row r="51" spans="1:22" s="102" customFormat="1" ht="12.75" customHeight="1">
      <c r="A51" s="50"/>
      <c r="B51" s="54"/>
      <c r="C51" s="50"/>
      <c r="D51" s="53" t="s">
        <v>130</v>
      </c>
      <c r="E51" s="60" t="s">
        <v>141</v>
      </c>
      <c r="F51" s="55"/>
      <c r="G51" s="55"/>
      <c r="H51" s="50"/>
      <c r="I51" s="52"/>
      <c r="J51" s="52">
        <f t="shared" ref="J51:U51" si="16">IF(Indexation.November.Actual.Override&lt;&gt;"",IF(I48=0,0,J48/I48),IF(H36=0,0,I36/H36))</f>
        <v>1.0297693920335429</v>
      </c>
      <c r="K51" s="52">
        <f t="shared" si="16"/>
        <v>1.0264657980456027</v>
      </c>
      <c r="L51" s="52">
        <f t="shared" si="16"/>
        <v>1.0198333994446649</v>
      </c>
      <c r="M51" s="52">
        <f t="shared" si="16"/>
        <v>1.0105017502917153</v>
      </c>
      <c r="N51" s="52">
        <f t="shared" si="16"/>
        <v>1.0219399538106235</v>
      </c>
      <c r="O51" s="52">
        <f t="shared" si="16"/>
        <v>1.0387947269303202</v>
      </c>
      <c r="P51" s="52">
        <f t="shared" si="16"/>
        <v>1.0319071791153009</v>
      </c>
      <c r="Q51" s="52">
        <f t="shared" si="16"/>
        <v>1.0298664792691496</v>
      </c>
      <c r="R51" s="52">
        <f t="shared" si="16"/>
        <v>1.0300238826339132</v>
      </c>
      <c r="S51" s="52">
        <f t="shared" si="16"/>
        <v>1.030142431268632</v>
      </c>
      <c r="T51" s="52">
        <f t="shared" si="16"/>
        <v>1.029903536977492</v>
      </c>
      <c r="U51" s="52">
        <f t="shared" si="16"/>
        <v>1.0299719013424913</v>
      </c>
      <c r="V51" s="51" t="s">
        <v>142</v>
      </c>
    </row>
    <row r="52" spans="1:22" ht="12.75" customHeight="1">
      <c r="A52" s="50"/>
      <c r="B52" s="54"/>
      <c r="C52" s="56"/>
      <c r="D52" s="53"/>
      <c r="E52" s="55"/>
      <c r="F52" s="55"/>
      <c r="G52" s="55"/>
      <c r="H52" s="50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1"/>
    </row>
    <row r="53" spans="1:22" s="102" customFormat="1" ht="12.75" customHeight="1">
      <c r="A53" s="50"/>
      <c r="B53" s="54"/>
      <c r="C53" s="56"/>
      <c r="D53" s="53"/>
      <c r="E53" s="55"/>
      <c r="F53" s="55"/>
      <c r="G53" s="55"/>
      <c r="H53" s="50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1"/>
    </row>
    <row r="54" spans="1:22" s="50" customFormat="1" ht="12.75" customHeight="1">
      <c r="B54" s="54"/>
      <c r="E54" s="59"/>
      <c r="F54" s="59"/>
      <c r="G54" s="59"/>
    </row>
    <row r="55" spans="1:22" s="50" customFormat="1" ht="12.75" customHeight="1">
      <c r="B55" s="54"/>
      <c r="D55" s="53"/>
      <c r="E55" s="58"/>
      <c r="F55" s="58"/>
      <c r="G55" s="58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51"/>
    </row>
    <row r="56" spans="1:22" s="50" customFormat="1" ht="12.75" customHeight="1">
      <c r="B56" s="54"/>
      <c r="C56" s="56"/>
      <c r="D56" s="53"/>
      <c r="E56" s="55"/>
      <c r="F56" s="55"/>
      <c r="G56" s="55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1"/>
    </row>
    <row r="57" spans="1:22" s="50" customFormat="1" ht="12.75" customHeight="1">
      <c r="B57" s="54"/>
      <c r="C57" s="56"/>
      <c r="D57" s="53"/>
      <c r="E57" s="55"/>
      <c r="F57" s="55"/>
      <c r="G57" s="55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1"/>
    </row>
    <row r="58" spans="1:22" s="50" customFormat="1" ht="12.75" customHeight="1">
      <c r="B58" s="54"/>
      <c r="C58" s="162"/>
      <c r="D58" s="53"/>
      <c r="E58" s="163"/>
      <c r="F58" s="163"/>
      <c r="G58" s="163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1"/>
    </row>
    <row r="59" spans="1:22" s="102" customFormat="1" ht="12.75" customHeight="1" thickBot="1">
      <c r="V59" s="164"/>
    </row>
    <row r="60" spans="1:22" ht="12.75" customHeight="1" thickBot="1">
      <c r="A60" s="49" t="s">
        <v>111</v>
      </c>
      <c r="B60" s="47"/>
      <c r="C60" s="47"/>
      <c r="D60" s="47"/>
      <c r="E60" s="48"/>
      <c r="F60" s="48"/>
      <c r="G60" s="48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6"/>
    </row>
    <row r="61" spans="1:22" ht="12.75" customHeight="1">
      <c r="I61" s="102"/>
    </row>
    <row r="62" spans="1:22" ht="12.75" hidden="1" customHeight="1">
      <c r="J62" s="102"/>
      <c r="L62" s="102"/>
    </row>
    <row r="63" spans="1:22" ht="12.75" hidden="1" customHeight="1"/>
    <row r="64" spans="1:22" ht="12.75" hidden="1" customHeight="1"/>
    <row r="65" ht="12.75" hidden="1" customHeight="1"/>
  </sheetData>
  <dataConsolidate/>
  <conditionalFormatting sqref="I26:U26">
    <cfRule type="cellIs" dxfId="5" priority="1" stopIfTrue="1" operator="equal">
      <formula>0</formula>
    </cfRule>
    <cfRule type="cellIs" dxfId="4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  <pageSetUpPr fitToPage="1"/>
  </sheetPr>
  <dimension ref="A1:W182"/>
  <sheetViews>
    <sheetView showGridLines="0" zoomScale="80" zoomScaleNormal="80" workbookViewId="0">
      <pane xSplit="8" ySplit="7" topLeftCell="I54" activePane="bottomRight" state="frozen"/>
      <selection activeCell="E25" sqref="E25"/>
      <selection pane="topRight" activeCell="E25" sqref="E25"/>
      <selection pane="bottomLeft" activeCell="E25" sqref="E25"/>
      <selection pane="bottomRight" activeCell="P85" sqref="P85"/>
    </sheetView>
  </sheetViews>
  <sheetFormatPr defaultColWidth="0" defaultRowHeight="12.75" zeroHeight="1"/>
  <cols>
    <col min="1" max="3" width="2.7109375" customWidth="1"/>
    <col min="4" max="4" width="9.140625" customWidth="1"/>
    <col min="5" max="5" width="68.85546875" customWidth="1"/>
    <col min="6" max="6" width="15.7109375" style="42" customWidth="1"/>
    <col min="7" max="7" width="7.85546875" customWidth="1"/>
    <col min="8" max="8" width="11.85546875" customWidth="1"/>
    <col min="9" max="21" width="10.5703125" customWidth="1"/>
    <col min="22" max="22" width="26.28515625" customWidth="1"/>
    <col min="23" max="23" width="9.140625" customWidth="1"/>
    <col min="24" max="28" width="0" hidden="1" customWidth="1"/>
  </cols>
  <sheetData>
    <row r="1" spans="1:23" s="2" customFormat="1" ht="33.75">
      <c r="A1" s="28"/>
      <c r="B1" s="28"/>
      <c r="C1" s="28"/>
      <c r="D1" s="28" t="s">
        <v>143</v>
      </c>
      <c r="E1" s="28"/>
      <c r="F1" s="13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40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40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4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40"/>
      <c r="G5" s="16"/>
      <c r="H5" s="16"/>
      <c r="I5" s="14">
        <f t="shared" ref="I5:U5" si="1">Calendar.Years</f>
        <v>2012</v>
      </c>
      <c r="J5" s="14">
        <f t="shared" si="1"/>
        <v>2013</v>
      </c>
      <c r="K5" s="34">
        <f t="shared" si="1"/>
        <v>2014</v>
      </c>
      <c r="L5" s="14">
        <f t="shared" si="1"/>
        <v>2015</v>
      </c>
      <c r="M5" s="3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40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5">
      <c r="A8" s="134"/>
      <c r="B8" s="8"/>
      <c r="C8" s="8"/>
      <c r="D8" s="138"/>
      <c r="E8" s="135" t="s">
        <v>144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3" customFormat="1">
      <c r="A9" s="16"/>
      <c r="B9" s="16"/>
      <c r="C9" s="16"/>
      <c r="D9" s="17"/>
      <c r="E9" s="16"/>
      <c r="F9" s="40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40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40"/>
      <c r="G11" s="16"/>
      <c r="H11" s="16"/>
      <c r="I11" s="16"/>
      <c r="J11" s="16"/>
      <c r="K11" s="16"/>
      <c r="L11" s="16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K.Water</f>
        <v>0</v>
      </c>
      <c r="M12" s="31">
        <f>K.Water</f>
        <v>0.39</v>
      </c>
      <c r="N12" s="31">
        <f>K.Water</f>
        <v>-2.0699999999999998</v>
      </c>
      <c r="O12" s="31">
        <f>K.Water</f>
        <v>-1.2</v>
      </c>
      <c r="P12" s="31">
        <f>K.Water</f>
        <v>-0.8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1.0501750291715295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3.1907179115300943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1.0144017502917153</v>
      </c>
      <c r="N14" s="31">
        <f t="shared" ref="N14:P14" si="2">1+(N13+N12)/100</f>
        <v>1.0012399538106236</v>
      </c>
      <c r="O14" s="31">
        <f t="shared" si="2"/>
        <v>1.0267947269303201</v>
      </c>
      <c r="P14" s="31">
        <f t="shared" si="2"/>
        <v>1.0239071791153009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40"/>
      <c r="J15" s="140"/>
      <c r="K15" s="31">
        <f>AllRev.Water</f>
        <v>267.98200000000003</v>
      </c>
      <c r="L15" s="31">
        <f>K15*L14</f>
        <v>273.29699404998024</v>
      </c>
      <c r="M15" s="31">
        <f>L15*M14</f>
        <v>277.23294911376445</v>
      </c>
      <c r="N15" s="31">
        <f t="shared" ref="N15:P15" si="3">M15*N14</f>
        <v>277.57670516544846</v>
      </c>
      <c r="O15" s="31">
        <f t="shared" si="3"/>
        <v>285.01429718257464</v>
      </c>
      <c r="P15" s="31">
        <f t="shared" si="3"/>
        <v>291.82818503574003</v>
      </c>
      <c r="Q15" s="125"/>
      <c r="R15" s="125"/>
      <c r="S15" s="125"/>
      <c r="T15" s="125"/>
      <c r="U15" s="125"/>
      <c r="V15" s="13" t="s">
        <v>150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A17" s="16"/>
      <c r="B17" s="16"/>
      <c r="C17" s="16"/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  <c r="W17" s="16"/>
    </row>
    <row r="18" spans="1:23" s="10" customFormat="1">
      <c r="A18" s="16"/>
      <c r="B18" s="16"/>
      <c r="C18" s="16"/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  <c r="W18" s="16"/>
    </row>
    <row r="19" spans="1:23" s="10" customFormat="1">
      <c r="A19" s="16"/>
      <c r="B19" s="16"/>
      <c r="C19" s="16"/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31">
        <f>BlindYear.1415.Adj.Water</f>
        <v>-1.1579999999999999</v>
      </c>
      <c r="L19" s="13" t="s">
        <v>154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  <c r="W19" s="16"/>
    </row>
    <row r="20" spans="1:23" s="10" customFormat="1">
      <c r="A20" s="16"/>
      <c r="B20" s="16"/>
      <c r="C20" s="16"/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AMP5.RCM.Adj.Water</f>
        <v>-1.1579999999999999</v>
      </c>
      <c r="L20" s="31">
        <f>K20*(1+Discount.Rate)</f>
        <v>-1.2008459999999999</v>
      </c>
      <c r="M20" s="31">
        <f>L20*(1+Discount.Rate)</f>
        <v>-1.2452773019999999</v>
      </c>
      <c r="N20" s="31">
        <f>M20*(1+Discount.Rate)</f>
        <v>-1.2913525621739999</v>
      </c>
      <c r="O20" s="31">
        <f>N20*(1+Discount.Rate)</f>
        <v>-1.3391326069744378</v>
      </c>
      <c r="P20" s="31">
        <f>O20*(1+Discount.Rate)</f>
        <v>-1.388680513432492</v>
      </c>
      <c r="Q20" s="16"/>
      <c r="R20" s="16"/>
      <c r="S20" s="32"/>
      <c r="T20" s="32"/>
      <c r="U20" s="32"/>
      <c r="V20" s="16"/>
      <c r="W20" s="16"/>
    </row>
    <row r="21" spans="1:23" s="10" customFormat="1">
      <c r="A21" s="16"/>
      <c r="B21" s="16"/>
      <c r="C21" s="16"/>
      <c r="D21" s="146" t="s">
        <v>135</v>
      </c>
      <c r="E21" s="148" t="str">
        <f>Data!E44</f>
        <v>Percentage of blind year adjustment by year - water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Data!N44</f>
        <v>1</v>
      </c>
      <c r="O21" s="152">
        <f>Data!O44</f>
        <v>0</v>
      </c>
      <c r="P21" s="152">
        <f>Data!P44</f>
        <v>0</v>
      </c>
      <c r="Q21" s="16"/>
      <c r="R21" s="16"/>
      <c r="S21" s="32"/>
      <c r="T21" s="32"/>
      <c r="U21" s="32"/>
      <c r="V21" s="16"/>
      <c r="W21" s="16"/>
    </row>
    <row r="22" spans="1:23" s="10" customFormat="1">
      <c r="A22" s="16"/>
      <c r="B22" s="16"/>
      <c r="C22" s="16"/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>N20*N21</f>
        <v>-1.2913525621739999</v>
      </c>
      <c r="O22" s="31">
        <f t="shared" ref="O22:P22" si="4">O20*O21</f>
        <v>0</v>
      </c>
      <c r="P22" s="31">
        <f t="shared" si="4"/>
        <v>0</v>
      </c>
      <c r="Q22" s="141"/>
      <c r="R22" s="141"/>
      <c r="S22" s="32"/>
      <c r="T22" s="32"/>
      <c r="U22" s="32"/>
      <c r="V22" s="16"/>
      <c r="W22" s="16"/>
    </row>
    <row r="23" spans="1:23" s="10" customFormat="1">
      <c r="A23" s="16"/>
      <c r="B23" s="16"/>
      <c r="C23" s="16"/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113"/>
      <c r="M23" s="26"/>
      <c r="N23" s="31">
        <f>N22*Indexation.November.Actual</f>
        <v>-1.4375434182691695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159</v>
      </c>
      <c r="W23" s="16"/>
    </row>
    <row r="24" spans="1:23" s="10" customFormat="1">
      <c r="A24" s="16"/>
      <c r="B24" s="16"/>
      <c r="C24" s="16"/>
      <c r="D24" s="17"/>
      <c r="E24" s="18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5"/>
      <c r="T24" s="125"/>
      <c r="U24" s="125"/>
      <c r="V24" s="13"/>
      <c r="W24" s="16"/>
    </row>
    <row r="25" spans="1:23" s="10" customFormat="1">
      <c r="A25" s="16"/>
      <c r="B25" s="16"/>
      <c r="C25" s="16"/>
      <c r="D25" s="17" t="s">
        <v>135</v>
      </c>
      <c r="E25" s="172" t="s">
        <v>249</v>
      </c>
      <c r="F25" s="40" t="s">
        <v>156</v>
      </c>
      <c r="G25" s="16"/>
      <c r="H25" s="16"/>
      <c r="I25" s="16"/>
      <c r="J25" s="16"/>
      <c r="K25" s="26"/>
      <c r="L25" s="113"/>
      <c r="M25" s="26"/>
      <c r="N25" s="26"/>
      <c r="O25" s="26"/>
      <c r="P25" s="174">
        <f xml:space="preserve"> 1 - SUM(N21:P21)</f>
        <v>0</v>
      </c>
      <c r="Q25" s="31"/>
      <c r="R25" s="31"/>
      <c r="S25" s="125"/>
      <c r="T25" s="125"/>
      <c r="U25" s="125"/>
      <c r="V25" s="13"/>
      <c r="W25" s="16"/>
    </row>
    <row r="26" spans="1:23" s="10" customFormat="1">
      <c r="A26" s="16"/>
      <c r="B26" s="16"/>
      <c r="C26" s="16"/>
      <c r="D26" s="17" t="s">
        <v>81</v>
      </c>
      <c r="E26" s="172" t="s">
        <v>246</v>
      </c>
      <c r="F26" s="149" t="s">
        <v>103</v>
      </c>
      <c r="G26" s="16"/>
      <c r="H26" s="16"/>
      <c r="I26" s="16"/>
      <c r="J26" s="16"/>
      <c r="K26" s="26"/>
      <c r="L26" s="113"/>
      <c r="M26" s="26"/>
      <c r="N26" s="26"/>
      <c r="O26" s="26"/>
      <c r="P26" s="173">
        <f xml:space="preserve"> P20*(1+Discount.Rate)</f>
        <v>-1.440061692429494</v>
      </c>
      <c r="Q26" s="31"/>
      <c r="R26" s="31"/>
      <c r="S26" s="125"/>
      <c r="T26" s="125"/>
      <c r="U26" s="125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72" t="s">
        <v>247</v>
      </c>
      <c r="F27" s="149" t="s">
        <v>103</v>
      </c>
      <c r="G27" s="16"/>
      <c r="H27" s="16"/>
      <c r="I27" s="16"/>
      <c r="J27" s="16"/>
      <c r="K27" s="26"/>
      <c r="L27" s="113"/>
      <c r="M27" s="26"/>
      <c r="N27" s="26"/>
      <c r="O27" s="26"/>
      <c r="P27" s="173">
        <f xml:space="preserve"> P25 * P26</f>
        <v>0</v>
      </c>
      <c r="Q27" s="31"/>
      <c r="R27" s="31"/>
      <c r="S27" s="125"/>
      <c r="T27" s="125"/>
      <c r="U27" s="125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72" t="s">
        <v>248</v>
      </c>
      <c r="F28" s="40" t="s">
        <v>96</v>
      </c>
      <c r="G28" s="16"/>
      <c r="H28" s="16"/>
      <c r="I28" s="16"/>
      <c r="J28" s="16"/>
      <c r="K28" s="26"/>
      <c r="L28" s="113"/>
      <c r="M28" s="26"/>
      <c r="N28" s="26"/>
      <c r="O28" s="26"/>
      <c r="P28" s="173">
        <f>P27*Indexation.November.Actual</f>
        <v>0</v>
      </c>
      <c r="Q28" s="31"/>
      <c r="R28" s="31"/>
      <c r="S28" s="125"/>
      <c r="T28" s="125"/>
      <c r="U28" s="125"/>
      <c r="V28" s="13"/>
      <c r="W28" s="16"/>
    </row>
    <row r="29" spans="1:23" s="10" customFormat="1">
      <c r="A29" s="16"/>
      <c r="B29" s="16"/>
      <c r="C29" s="16"/>
      <c r="D29" s="17"/>
      <c r="E29" s="16"/>
      <c r="F29" s="40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  <c r="W29" s="16"/>
    </row>
    <row r="30" spans="1:23" s="10" customFormat="1">
      <c r="A30" s="16"/>
      <c r="B30" s="16"/>
      <c r="C30" s="16"/>
      <c r="D30" s="17"/>
      <c r="E30" s="40" t="s">
        <v>160</v>
      </c>
      <c r="F30" s="40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  <c r="W30" s="16"/>
    </row>
    <row r="31" spans="1:23" s="10" customFormat="1">
      <c r="A31" s="16"/>
      <c r="B31" s="16"/>
      <c r="C31" s="16"/>
      <c r="D31" s="17"/>
      <c r="E31" s="9" t="s">
        <v>161</v>
      </c>
      <c r="F31" s="40"/>
      <c r="G31" s="16"/>
      <c r="H31" s="16"/>
      <c r="I31" s="16"/>
      <c r="J31" s="16"/>
      <c r="K31" s="140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6"/>
      <c r="W31" s="16"/>
    </row>
    <row r="32" spans="1:23" s="10" customFormat="1">
      <c r="A32" s="16"/>
      <c r="B32" s="16"/>
      <c r="C32" s="16"/>
      <c r="D32" s="17" t="s">
        <v>81</v>
      </c>
      <c r="E32" s="18" t="s">
        <v>162</v>
      </c>
      <c r="F32" s="40" t="s">
        <v>96</v>
      </c>
      <c r="G32" s="16"/>
      <c r="H32" s="16"/>
      <c r="I32" s="140"/>
      <c r="J32" s="140"/>
      <c r="K32" s="140"/>
      <c r="L32" s="31">
        <f>J48+J58</f>
        <v>0</v>
      </c>
      <c r="M32" s="31">
        <f t="shared" ref="M32:P32" si="6">K48+K58</f>
        <v>0</v>
      </c>
      <c r="N32" s="31">
        <f t="shared" si="6"/>
        <v>1.0949499188411325</v>
      </c>
      <c r="O32" s="31">
        <f t="shared" si="6"/>
        <v>0.95888296683503227</v>
      </c>
      <c r="P32" s="31">
        <f t="shared" si="6"/>
        <v>-4.3650321299541233</v>
      </c>
      <c r="Q32" s="31"/>
      <c r="R32" s="31"/>
      <c r="S32" s="30"/>
      <c r="T32" s="30"/>
      <c r="U32" s="30"/>
      <c r="V32" s="13" t="s">
        <v>163</v>
      </c>
      <c r="W32" s="16"/>
    </row>
    <row r="33" spans="1:23" s="10" customFormat="1">
      <c r="A33" s="16"/>
      <c r="B33" s="16"/>
      <c r="C33" s="140"/>
      <c r="D33" s="148" t="str">
        <f>Data!D12</f>
        <v>True/False</v>
      </c>
      <c r="E33" s="148" t="str">
        <f>Data!E12</f>
        <v>Company has accepted WRFIM licence modification</v>
      </c>
      <c r="F33" s="148"/>
      <c r="G33" s="148" t="b">
        <f>Data!G12</f>
        <v>1</v>
      </c>
      <c r="H33" s="148" t="str">
        <f>Data!H12</f>
        <v>True/False</v>
      </c>
      <c r="I33" s="148"/>
      <c r="J33" s="148"/>
      <c r="K33" s="148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  <c r="W33" s="16"/>
    </row>
    <row r="34" spans="1:23" s="10" customFormat="1">
      <c r="A34" s="16"/>
      <c r="B34" s="16"/>
      <c r="C34" s="140"/>
      <c r="D34" s="146" t="s">
        <v>81</v>
      </c>
      <c r="E34" s="148" t="str">
        <f>Data!E50</f>
        <v>Over-recovered 17/18 revenue returned - water</v>
      </c>
      <c r="F34" s="149" t="s">
        <v>96</v>
      </c>
      <c r="G34" s="148"/>
      <c r="H34" s="148"/>
      <c r="I34" s="148"/>
      <c r="J34" s="148"/>
      <c r="K34" s="148"/>
      <c r="L34" s="125"/>
      <c r="M34" s="125"/>
      <c r="N34" s="125"/>
      <c r="O34" s="166">
        <f>(0 - Data!O50)</f>
        <v>0</v>
      </c>
      <c r="P34" s="125"/>
      <c r="Q34" s="31"/>
      <c r="R34" s="31"/>
      <c r="S34" s="20"/>
      <c r="T34" s="20"/>
      <c r="U34" s="20"/>
      <c r="V34" s="13"/>
      <c r="W34" s="16"/>
    </row>
    <row r="35" spans="1:23" s="10" customFormat="1">
      <c r="A35" s="16"/>
      <c r="B35" s="16"/>
      <c r="C35" s="140"/>
      <c r="D35" s="146" t="s">
        <v>81</v>
      </c>
      <c r="E35" s="148" t="s">
        <v>243</v>
      </c>
      <c r="F35" s="149" t="s">
        <v>96</v>
      </c>
      <c r="G35" s="148"/>
      <c r="H35" s="148"/>
      <c r="I35" s="148"/>
      <c r="J35" s="148"/>
      <c r="K35" s="148"/>
      <c r="L35" s="125"/>
      <c r="M35" s="125"/>
      <c r="N35" s="125"/>
      <c r="O35" s="125"/>
      <c r="P35" s="166">
        <f>(0-O34*(1+Discount.Rate))*(INDEX(Indexation.November.Actual.YearOnYear,,MATCH(P$5,Calendar.Years,0)))</f>
        <v>0</v>
      </c>
      <c r="Q35" s="31"/>
      <c r="R35" s="31"/>
      <c r="S35" s="20"/>
      <c r="T35" s="20"/>
      <c r="U35" s="20"/>
      <c r="V35" s="13"/>
      <c r="W35" s="16"/>
    </row>
    <row r="36" spans="1:23" s="10" customFormat="1">
      <c r="A36" s="16"/>
      <c r="B36" s="16"/>
      <c r="C36" s="140"/>
      <c r="D36" s="146" t="s">
        <v>81</v>
      </c>
      <c r="E36" s="148" t="str">
        <f>Data!E53</f>
        <v>Over-recovered 18/19 revenue returned - water</v>
      </c>
      <c r="F36" s="149" t="s">
        <v>96</v>
      </c>
      <c r="G36" s="148"/>
      <c r="H36" s="148"/>
      <c r="I36" s="148"/>
      <c r="J36" s="148"/>
      <c r="K36" s="148"/>
      <c r="L36" s="125"/>
      <c r="M36" s="125"/>
      <c r="N36" s="125"/>
      <c r="O36" s="125"/>
      <c r="P36" s="166">
        <f>(0 - Data!P53)</f>
        <v>0</v>
      </c>
      <c r="Q36" s="31"/>
      <c r="R36" s="31"/>
      <c r="S36" s="20"/>
      <c r="T36" s="20"/>
      <c r="U36" s="20"/>
      <c r="V36" s="13"/>
      <c r="W36" s="16"/>
    </row>
    <row r="37" spans="1:23" s="25" customFormat="1">
      <c r="A37" s="16"/>
      <c r="B37" s="16"/>
      <c r="C37" s="140"/>
      <c r="D37" s="146" t="s">
        <v>81</v>
      </c>
      <c r="E37" s="148" t="s">
        <v>164</v>
      </c>
      <c r="F37" s="149" t="s">
        <v>96</v>
      </c>
      <c r="G37" s="153"/>
      <c r="H37" s="153"/>
      <c r="I37" s="153"/>
      <c r="J37" s="153"/>
      <c r="K37" s="153"/>
      <c r="L37" s="125">
        <f>L15</f>
        <v>273.29699404998024</v>
      </c>
      <c r="M37" s="125">
        <f>M15</f>
        <v>277.23294911376445</v>
      </c>
      <c r="N37" s="125">
        <f>N15</f>
        <v>277.57670516544846</v>
      </c>
      <c r="O37" s="125">
        <f>O15</f>
        <v>285.01429718257464</v>
      </c>
      <c r="P37" s="125">
        <f>P15</f>
        <v>291.82818503574003</v>
      </c>
      <c r="Q37" s="125"/>
      <c r="R37" s="125"/>
      <c r="S37" s="125"/>
      <c r="T37" s="125"/>
      <c r="U37" s="125"/>
      <c r="V37" s="13"/>
      <c r="W37" s="16"/>
    </row>
    <row r="38" spans="1:23" s="10" customFormat="1">
      <c r="A38" s="16"/>
      <c r="B38" s="16"/>
      <c r="C38" s="140"/>
      <c r="D38" s="146" t="s">
        <v>81</v>
      </c>
      <c r="E38" s="148" t="s">
        <v>165</v>
      </c>
      <c r="F38" s="149" t="s">
        <v>96</v>
      </c>
      <c r="G38" s="140"/>
      <c r="H38" s="140"/>
      <c r="I38" s="140"/>
      <c r="J38" s="140"/>
      <c r="K38" s="140"/>
      <c r="L38" s="167">
        <f>AllRev.Outturn.Water+RCM.BlindYear.Adj.Water+AMP6.FI.Adj.Water+L34+L35+L36</f>
        <v>273.29699404998024</v>
      </c>
      <c r="M38" s="167">
        <f>AllRev.Outturn.Water+RCM.BlindYear.Adj.Water+AMP6.FI.Adj.Water+M34+M35+M36</f>
        <v>277.23294911376445</v>
      </c>
      <c r="N38" s="167">
        <f>AllRev.Outturn.Water+RCM.BlindYear.Adj.Water+AMP6.FI.Adj.Water+N34+N35+N36</f>
        <v>277.2341116660204</v>
      </c>
      <c r="O38" s="167">
        <f>AllRev.Outturn.Water+RCM.BlindYear.Adj.Water+AMP6.FI.Adj.Water+O34+O35+O36</f>
        <v>285.97318014940964</v>
      </c>
      <c r="P38" s="167">
        <f>AllRev.Outturn.Water+RCM.BlindYear.Adj.Water+AMP6.FI.Adj.Water+P34+P35+P36</f>
        <v>287.46315290578593</v>
      </c>
      <c r="Q38" s="32"/>
      <c r="R38" s="32"/>
      <c r="S38" s="32"/>
      <c r="T38" s="32"/>
      <c r="U38" s="32"/>
      <c r="V38" s="13" t="s">
        <v>166</v>
      </c>
      <c r="W38" s="16"/>
    </row>
    <row r="39" spans="1:23" s="25" customFormat="1">
      <c r="A39" s="16"/>
      <c r="B39" s="16"/>
      <c r="C39" s="140"/>
      <c r="D39" s="146" t="s">
        <v>81</v>
      </c>
      <c r="E39" s="148" t="s">
        <v>167</v>
      </c>
      <c r="F39" s="149" t="s">
        <v>96</v>
      </c>
      <c r="G39" s="153"/>
      <c r="H39" s="153"/>
      <c r="I39" s="153"/>
      <c r="J39" s="153"/>
      <c r="K39" s="153"/>
      <c r="L39" s="31">
        <f>IF($G33=TRUE,L38,MIN(L37:L38))</f>
        <v>273.29699404998024</v>
      </c>
      <c r="M39" s="31">
        <f>IF($G33=TRUE,M38,MIN(M37:M38))</f>
        <v>277.23294911376445</v>
      </c>
      <c r="N39" s="31">
        <f>IF($G33=TRUE,N38,MIN(N37:N38))</f>
        <v>277.2341116660204</v>
      </c>
      <c r="O39" s="31">
        <f>IF($G33=TRUE,O38,MIN(O37:O38))</f>
        <v>285.97318014940964</v>
      </c>
      <c r="P39" s="31">
        <f>IF($G33=TRUE,P38,MIN(P37:P38))</f>
        <v>287.46315290578593</v>
      </c>
      <c r="Q39" s="125"/>
      <c r="R39" s="125"/>
      <c r="S39" s="125"/>
      <c r="T39" s="125"/>
      <c r="U39" s="125"/>
      <c r="V39" s="13" t="s">
        <v>168</v>
      </c>
      <c r="W39" s="16"/>
    </row>
    <row r="40" spans="1:23" s="10" customFormat="1">
      <c r="A40" s="16"/>
      <c r="B40" s="16"/>
      <c r="C40" s="140"/>
      <c r="D40" s="146"/>
      <c r="E40" s="148"/>
      <c r="F40" s="149"/>
      <c r="G40" s="140"/>
      <c r="H40" s="140"/>
      <c r="I40" s="140"/>
      <c r="J40" s="140"/>
      <c r="K40" s="140"/>
      <c r="L40" s="125"/>
      <c r="M40" s="125"/>
      <c r="N40" s="125"/>
      <c r="O40" s="125"/>
      <c r="P40" s="125"/>
      <c r="Q40" s="32"/>
      <c r="R40" s="32"/>
      <c r="S40" s="32"/>
      <c r="T40" s="32"/>
      <c r="U40" s="32"/>
      <c r="V40" s="16"/>
      <c r="W40" s="16"/>
    </row>
    <row r="41" spans="1:23" s="10" customFormat="1">
      <c r="A41" s="16"/>
      <c r="B41" s="16"/>
      <c r="C41" s="16"/>
      <c r="D41" s="17" t="s">
        <v>81</v>
      </c>
      <c r="E41" s="18" t="s">
        <v>169</v>
      </c>
      <c r="F41" s="40" t="s">
        <v>96</v>
      </c>
      <c r="G41" s="16"/>
      <c r="H41" s="16"/>
      <c r="I41" s="16"/>
      <c r="J41" s="16"/>
      <c r="K41" s="140"/>
      <c r="L41" s="31">
        <f t="shared" ref="L41:P41" si="7">RecRev.Water</f>
        <v>272.31100000000004</v>
      </c>
      <c r="M41" s="141">
        <f t="shared" si="7"/>
        <v>276.39300000000003</v>
      </c>
      <c r="N41" s="31">
        <f t="shared" si="7"/>
        <v>281.02079999999995</v>
      </c>
      <c r="O41" s="141">
        <f t="shared" si="7"/>
        <v>282.56780000000003</v>
      </c>
      <c r="P41" s="141">
        <f t="shared" si="7"/>
        <v>280.9658</v>
      </c>
      <c r="Q41" s="31"/>
      <c r="R41" s="31"/>
      <c r="S41" s="20"/>
      <c r="T41" s="20"/>
      <c r="U41" s="20"/>
      <c r="V41" s="16"/>
      <c r="W41" s="16"/>
    </row>
    <row r="42" spans="1:23" s="10" customFormat="1">
      <c r="A42" s="16"/>
      <c r="B42" s="16"/>
      <c r="C42" s="16"/>
      <c r="D42" s="17"/>
      <c r="E42" s="18"/>
      <c r="F42" s="40"/>
      <c r="G42" s="16"/>
      <c r="H42" s="16"/>
      <c r="I42" s="16"/>
      <c r="J42" s="16"/>
      <c r="K42" s="140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6"/>
      <c r="W42" s="16"/>
    </row>
    <row r="43" spans="1:23" s="10" customFormat="1">
      <c r="A43" s="16"/>
      <c r="B43" s="16"/>
      <c r="C43" s="16"/>
      <c r="D43" s="17" t="s">
        <v>81</v>
      </c>
      <c r="E43" s="18" t="s">
        <v>170</v>
      </c>
      <c r="F43" s="40" t="s">
        <v>96</v>
      </c>
      <c r="G43" s="16"/>
      <c r="H43" s="16"/>
      <c r="I43" s="16"/>
      <c r="J43" s="16"/>
      <c r="K43" s="140"/>
      <c r="L43" s="125">
        <f t="shared" ref="L43:M43" si="8">L41-L38</f>
        <v>-0.98599404998020646</v>
      </c>
      <c r="M43" s="125">
        <f t="shared" si="8"/>
        <v>-0.83994911376441905</v>
      </c>
      <c r="N43" s="125">
        <f>N41-N38</f>
        <v>3.786688333979555</v>
      </c>
      <c r="O43" s="125">
        <f t="shared" ref="O43:P43" si="9">O41-O38</f>
        <v>-3.4053801494096092</v>
      </c>
      <c r="P43" s="125">
        <f t="shared" si="9"/>
        <v>-6.4973529057859309</v>
      </c>
      <c r="Q43" s="32"/>
      <c r="R43" s="32"/>
      <c r="S43" s="32"/>
      <c r="T43" s="32"/>
      <c r="U43" s="32"/>
      <c r="V43" s="16"/>
      <c r="W43" s="16"/>
    </row>
    <row r="44" spans="1:23" s="10" customFormat="1">
      <c r="A44" s="16"/>
      <c r="B44" s="16"/>
      <c r="C44" s="16"/>
      <c r="D44" s="17" t="s">
        <v>68</v>
      </c>
      <c r="E44" s="18" t="s">
        <v>171</v>
      </c>
      <c r="F44" s="40"/>
      <c r="G44" s="16"/>
      <c r="H44" s="16"/>
      <c r="I44" s="16"/>
      <c r="J44" s="16"/>
      <c r="K44" s="140"/>
      <c r="L44" s="142">
        <f>IF(L38=0,0,L43/L38)</f>
        <v>-3.6077749534262678E-3</v>
      </c>
      <c r="M44" s="142">
        <f t="shared" ref="M44:P44" si="10">IF(M38=0,0,M43/M38)</f>
        <v>-3.0297593285700691E-3</v>
      </c>
      <c r="N44" s="142">
        <f t="shared" si="10"/>
        <v>1.3658810999929617E-2</v>
      </c>
      <c r="O44" s="142">
        <f t="shared" si="10"/>
        <v>-1.1908040284163826E-2</v>
      </c>
      <c r="P44" s="142">
        <f t="shared" si="10"/>
        <v>-2.2602385175658993E-2</v>
      </c>
      <c r="Q44" s="125"/>
      <c r="R44" s="125"/>
      <c r="S44" s="125"/>
      <c r="T44" s="125"/>
      <c r="U44" s="125"/>
      <c r="V44" s="13" t="s">
        <v>172</v>
      </c>
      <c r="W44" s="143"/>
    </row>
    <row r="45" spans="1:23" s="25" customFormat="1">
      <c r="A45" s="16"/>
      <c r="B45" s="16"/>
      <c r="C45" s="16"/>
      <c r="D45" s="17"/>
      <c r="E45" s="18"/>
      <c r="F45" s="42"/>
      <c r="K45" s="140"/>
      <c r="L45" s="142"/>
      <c r="M45" s="142"/>
      <c r="N45" s="142"/>
      <c r="O45" s="142"/>
      <c r="P45" s="142"/>
      <c r="Q45" s="125"/>
      <c r="R45" s="125"/>
      <c r="S45" s="125"/>
      <c r="T45" s="125"/>
      <c r="U45" s="125"/>
      <c r="V45" s="13"/>
    </row>
    <row r="46" spans="1:23" s="25" customFormat="1">
      <c r="A46" s="16"/>
      <c r="B46" s="16"/>
      <c r="C46" s="16"/>
      <c r="D46" s="17"/>
      <c r="E46" s="35" t="s">
        <v>173</v>
      </c>
      <c r="F46" s="42"/>
      <c r="K46" s="140"/>
      <c r="L46" s="142"/>
      <c r="M46" s="142"/>
      <c r="N46" s="142"/>
      <c r="O46" s="142"/>
      <c r="P46" s="142"/>
      <c r="Q46" s="125"/>
      <c r="R46" s="125"/>
      <c r="S46" s="125"/>
      <c r="T46" s="125"/>
      <c r="U46" s="125"/>
      <c r="V46" s="13"/>
    </row>
    <row r="47" spans="1:23" s="25" customFormat="1">
      <c r="A47" s="16"/>
      <c r="B47" s="16"/>
      <c r="C47" s="16"/>
      <c r="D47" s="17" t="s">
        <v>81</v>
      </c>
      <c r="E47" s="18" t="s">
        <v>174</v>
      </c>
      <c r="F47" s="40" t="s">
        <v>96</v>
      </c>
      <c r="J47" s="26">
        <v>0</v>
      </c>
      <c r="K47" s="26">
        <v>0</v>
      </c>
      <c r="L47" s="31">
        <f>0-L43*(1+Discount.Rate)*(1+Discount.Rate)</f>
        <v>1.0603074355331645</v>
      </c>
      <c r="M47" s="31">
        <f>0-M43*(1+Discount.Rate)*(1+Discount.Rate)</f>
        <v>0.90325523851972944</v>
      </c>
      <c r="N47" s="31">
        <f>0-N43*(1+Discount.Rate)*(1+Discount.Rate)</f>
        <v>-4.0720872470232594</v>
      </c>
      <c r="O47" s="26"/>
      <c r="P47" s="26"/>
      <c r="Q47" s="125"/>
      <c r="R47" s="125"/>
      <c r="S47" s="125"/>
      <c r="T47" s="125"/>
      <c r="U47" s="125"/>
      <c r="V47" s="13"/>
    </row>
    <row r="48" spans="1:23" s="25" customFormat="1">
      <c r="A48" s="16"/>
      <c r="B48" s="16"/>
      <c r="C48" s="16"/>
      <c r="D48" s="17" t="s">
        <v>81</v>
      </c>
      <c r="E48" s="18" t="s">
        <v>175</v>
      </c>
      <c r="F48" s="40" t="s">
        <v>176</v>
      </c>
      <c r="J48" s="113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1.0949499188411325</v>
      </c>
      <c r="M48" s="31">
        <f>M47*INDEX(Indexation.November.Actual.YearOnYear,,MATCH(N$5,Calendar.Years,0))*(INDEX(Indexation.November.Actual.YearOnYear,,MATCH(O$5,Calendar.Years,0)))</f>
        <v>0.95888296683503227</v>
      </c>
      <c r="N48" s="31">
        <f>N47*INDEX(Indexation.November.Actual.YearOnYear,,MATCH(O$5,Calendar.Years,0))*(INDEX(Indexation.November.Actual.YearOnYear,,MATCH(P$5,Calendar.Years,0)))</f>
        <v>-4.3650321299541233</v>
      </c>
      <c r="O48" s="26"/>
      <c r="P48" s="26"/>
      <c r="Q48" s="125"/>
      <c r="R48" s="125"/>
      <c r="S48" s="125"/>
      <c r="T48" s="125"/>
      <c r="U48" s="125"/>
      <c r="V48" s="13"/>
      <c r="W48"/>
    </row>
    <row r="49" spans="1:23" s="25" customFormat="1">
      <c r="A49" s="16"/>
      <c r="B49" s="16"/>
      <c r="C49" s="16"/>
      <c r="D49" s="17" t="s">
        <v>81</v>
      </c>
      <c r="E49" s="18" t="s">
        <v>177</v>
      </c>
      <c r="F49" s="40" t="s">
        <v>96</v>
      </c>
      <c r="J49" s="26"/>
      <c r="K49" s="26"/>
      <c r="L49" s="26"/>
      <c r="M49" s="26"/>
      <c r="N49" s="31">
        <f>L48</f>
        <v>1.0949499188411325</v>
      </c>
      <c r="O49" s="31">
        <f>M48</f>
        <v>0.95888296683503227</v>
      </c>
      <c r="P49" s="31">
        <f>N48</f>
        <v>-4.3650321299541233</v>
      </c>
      <c r="Q49" s="125"/>
      <c r="R49" s="125"/>
      <c r="S49" s="125"/>
      <c r="T49" s="125"/>
      <c r="U49" s="125"/>
      <c r="V49" s="13"/>
      <c r="W49"/>
    </row>
    <row r="50" spans="1:23" s="25" customFormat="1">
      <c r="A50" s="16"/>
      <c r="B50" s="16"/>
      <c r="C50" s="16"/>
      <c r="D50" s="17"/>
      <c r="E50" s="21"/>
      <c r="F50" s="40"/>
      <c r="Q50" s="125"/>
      <c r="R50" s="125"/>
      <c r="S50" s="125"/>
      <c r="T50" s="125"/>
      <c r="U50" s="125"/>
      <c r="V50" s="13"/>
      <c r="W50"/>
    </row>
    <row r="51" spans="1:23" s="25" customFormat="1">
      <c r="A51" s="16"/>
      <c r="B51" s="16"/>
      <c r="C51" s="16"/>
      <c r="D51" s="17"/>
      <c r="E51" s="35" t="s">
        <v>178</v>
      </c>
      <c r="F51" s="40"/>
      <c r="Q51" s="125"/>
      <c r="R51" s="125"/>
      <c r="S51" s="125"/>
      <c r="T51" s="125"/>
      <c r="U51" s="125"/>
      <c r="V51" s="13"/>
      <c r="W51"/>
    </row>
    <row r="52" spans="1:23" s="25" customFormat="1">
      <c r="A52" s="16"/>
      <c r="B52" s="16"/>
      <c r="C52" s="16"/>
      <c r="D52" s="17" t="s">
        <v>68</v>
      </c>
      <c r="E52" s="18" t="s">
        <v>179</v>
      </c>
      <c r="F52" s="40"/>
      <c r="L52" s="142">
        <f>IF(L39=0,0,ABS((L41-L39)/L39))</f>
        <v>3.6077749534262678E-3</v>
      </c>
      <c r="M52" s="142">
        <f t="shared" ref="M52:P52" si="11">IF(M39=0,0,ABS((M41-M39)/M39))</f>
        <v>3.0297593285700691E-3</v>
      </c>
      <c r="N52" s="142">
        <f t="shared" si="11"/>
        <v>1.3658810999929617E-2</v>
      </c>
      <c r="O52" s="142">
        <f t="shared" si="11"/>
        <v>1.1908040284163826E-2</v>
      </c>
      <c r="P52" s="142">
        <f t="shared" si="11"/>
        <v>2.2602385175658993E-2</v>
      </c>
      <c r="Q52" s="125"/>
      <c r="R52" s="125"/>
      <c r="S52" s="125"/>
      <c r="T52" s="125"/>
      <c r="U52" s="125"/>
      <c r="V52" s="13"/>
      <c r="W52"/>
    </row>
    <row r="53" spans="1:23" s="10" customFormat="1">
      <c r="A53" s="16"/>
      <c r="B53" s="16"/>
      <c r="C53" s="16"/>
      <c r="D53" s="23" t="s">
        <v>180</v>
      </c>
      <c r="E53" s="18" t="s">
        <v>181</v>
      </c>
      <c r="F53" s="40"/>
      <c r="G53" s="16"/>
      <c r="H53" s="16"/>
      <c r="I53" s="16"/>
      <c r="J53" s="16"/>
      <c r="K53" s="140"/>
      <c r="L53" s="144" t="b">
        <f>L52&gt;Threshold.Min</f>
        <v>0</v>
      </c>
      <c r="M53" s="144" t="b">
        <f>M52&gt;Threshold.Min</f>
        <v>0</v>
      </c>
      <c r="N53" s="144" t="b">
        <f>N52&gt;Threshold.Min</f>
        <v>0</v>
      </c>
      <c r="O53" s="144" t="b">
        <f>O52&gt;Threshold.Min</f>
        <v>0</v>
      </c>
      <c r="P53" s="144" t="b">
        <f>P52&gt;Threshold.Min</f>
        <v>1</v>
      </c>
      <c r="Q53" s="32"/>
      <c r="R53" s="32"/>
      <c r="S53" s="32"/>
      <c r="T53" s="32"/>
      <c r="U53" s="32"/>
      <c r="V53" s="16"/>
      <c r="W53"/>
    </row>
    <row r="54" spans="1:23">
      <c r="A54" s="16"/>
      <c r="B54" s="16"/>
      <c r="C54" s="16"/>
      <c r="D54" s="17" t="s">
        <v>68</v>
      </c>
      <c r="E54" s="18" t="s">
        <v>182</v>
      </c>
      <c r="K54" s="140"/>
      <c r="L54" s="142">
        <f>L53*Penalty.Rate.General*MIN(1,(L52-Threshold.Min)/(Threshold.Max-Threshold.Min))</f>
        <v>0</v>
      </c>
      <c r="M54" s="142">
        <f>M53*Penalty.Rate.General*MIN(1,(M52-Threshold.Min)/(Threshold.Max-Threshold.Min))</f>
        <v>0</v>
      </c>
      <c r="N54" s="142">
        <f>N53*Penalty.Rate.General*MIN(1,(N52-Threshold.Min)/(Threshold.Max-Threshold.Min))</f>
        <v>0</v>
      </c>
      <c r="O54" s="142">
        <f>O53*Penalty.Rate.General*MIN(1,(O52-Threshold.Min)/(Threshold.Max-Threshold.Min))</f>
        <v>0</v>
      </c>
      <c r="P54" s="142">
        <f>P53*Penalty.Rate.General*MIN(1,(P52-Threshold.Min)/(Threshold.Max-Threshold.Min))</f>
        <v>7.8071555269769799E-3</v>
      </c>
      <c r="Q54" s="32"/>
      <c r="R54" s="32"/>
      <c r="S54" s="32"/>
      <c r="T54" s="32"/>
      <c r="U54" s="32"/>
    </row>
    <row r="55" spans="1:23" s="25" customFormat="1">
      <c r="A55" s="16"/>
      <c r="B55" s="16"/>
      <c r="C55" s="16"/>
      <c r="D55" s="17"/>
      <c r="E55" s="35"/>
      <c r="F55" s="40"/>
      <c r="Q55" s="125"/>
      <c r="R55" s="125"/>
      <c r="S55" s="125"/>
      <c r="T55" s="125"/>
      <c r="U55" s="125"/>
      <c r="V55" s="13"/>
      <c r="W55"/>
    </row>
    <row r="56" spans="1:23" s="25" customFormat="1">
      <c r="A56" s="16"/>
      <c r="B56" s="16"/>
      <c r="C56" s="16"/>
      <c r="D56" s="17" t="s">
        <v>81</v>
      </c>
      <c r="E56" s="18" t="s">
        <v>183</v>
      </c>
      <c r="F56" s="40" t="s">
        <v>96</v>
      </c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-5.0725844649126571E-2</v>
      </c>
      <c r="Q56" s="125"/>
      <c r="R56" s="125"/>
      <c r="S56" s="125"/>
      <c r="T56" s="125"/>
      <c r="U56" s="125"/>
      <c r="V56" s="13"/>
      <c r="W56"/>
    </row>
    <row r="57" spans="1:23" s="25" customFormat="1">
      <c r="A57" s="16"/>
      <c r="B57" s="16"/>
      <c r="C57" s="16"/>
      <c r="D57" s="17" t="s">
        <v>81</v>
      </c>
      <c r="E57" s="18" t="s">
        <v>184</v>
      </c>
      <c r="F57" s="40" t="s">
        <v>96</v>
      </c>
      <c r="J57" s="26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  <c r="Q57" s="125"/>
      <c r="R57" s="125"/>
      <c r="S57" s="125"/>
      <c r="T57" s="125"/>
      <c r="U57" s="125"/>
      <c r="V57" s="13"/>
      <c r="W57"/>
    </row>
    <row r="58" spans="1:23" s="25" customFormat="1">
      <c r="A58" s="16"/>
      <c r="B58" s="16"/>
      <c r="C58" s="16"/>
      <c r="D58" s="17" t="s">
        <v>81</v>
      </c>
      <c r="E58" s="18" t="s">
        <v>185</v>
      </c>
      <c r="F58" s="40" t="s">
        <v>96</v>
      </c>
      <c r="J58" s="113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  <c r="Q58" s="125"/>
      <c r="R58" s="125"/>
      <c r="S58" s="125"/>
      <c r="T58" s="125"/>
      <c r="U58" s="125"/>
      <c r="V58" s="13"/>
      <c r="W58"/>
    </row>
    <row r="59" spans="1:23" s="25" customFormat="1">
      <c r="A59" s="16"/>
      <c r="B59" s="16"/>
      <c r="C59" s="16"/>
      <c r="D59" s="17" t="s">
        <v>81</v>
      </c>
      <c r="E59" s="18" t="s">
        <v>186</v>
      </c>
      <c r="F59" s="40" t="s">
        <v>96</v>
      </c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  <c r="Q59" s="125"/>
      <c r="R59" s="125"/>
      <c r="T59" s="125"/>
      <c r="U59" s="125"/>
      <c r="V59" s="13"/>
      <c r="W59"/>
    </row>
    <row r="60" spans="1:23" s="25" customFormat="1">
      <c r="A60" s="16"/>
      <c r="B60" s="16"/>
      <c r="C60" s="16"/>
      <c r="Q60" s="125"/>
      <c r="R60" s="125"/>
      <c r="S60" s="125"/>
      <c r="T60" s="125"/>
      <c r="U60" s="125"/>
      <c r="V60" s="13"/>
      <c r="W60"/>
    </row>
    <row r="61" spans="1:23" s="25" customFormat="1">
      <c r="A61" s="16"/>
      <c r="B61" s="16"/>
      <c r="C61" s="16"/>
      <c r="E61" s="35" t="s">
        <v>187</v>
      </c>
      <c r="Q61" s="125"/>
      <c r="R61" s="125"/>
      <c r="S61" s="125"/>
      <c r="T61" s="125"/>
      <c r="U61" s="125"/>
      <c r="V61" s="13"/>
      <c r="W61"/>
    </row>
    <row r="62" spans="1:23" s="25" customFormat="1">
      <c r="A62" s="16"/>
      <c r="B62" s="16"/>
      <c r="C62" s="16"/>
      <c r="D62" s="17" t="s">
        <v>81</v>
      </c>
      <c r="E62" s="18" t="s">
        <v>177</v>
      </c>
      <c r="F62" s="40" t="s">
        <v>96</v>
      </c>
      <c r="L62" s="26"/>
      <c r="M62" s="26"/>
      <c r="N62" s="31">
        <f>N49</f>
        <v>1.0949499188411325</v>
      </c>
      <c r="O62" s="31">
        <f>O49</f>
        <v>0.95888296683503227</v>
      </c>
      <c r="P62" s="31">
        <f>P49</f>
        <v>-4.3650321299541233</v>
      </c>
      <c r="Q62" s="125"/>
      <c r="R62" s="125"/>
      <c r="S62" s="125"/>
      <c r="T62" s="125"/>
      <c r="U62" s="125"/>
      <c r="V62" s="13"/>
      <c r="W62"/>
    </row>
    <row r="63" spans="1:23" s="25" customFormat="1">
      <c r="A63" s="16"/>
      <c r="B63" s="16"/>
      <c r="C63" s="16"/>
      <c r="D63" s="17" t="s">
        <v>81</v>
      </c>
      <c r="E63" s="18" t="s">
        <v>186</v>
      </c>
      <c r="F63" s="40" t="s">
        <v>96</v>
      </c>
      <c r="L63" s="26"/>
      <c r="M63" s="26"/>
      <c r="N63" s="31">
        <f>N59</f>
        <v>0</v>
      </c>
      <c r="O63" s="31">
        <f>O59</f>
        <v>0</v>
      </c>
      <c r="P63" s="31">
        <f>P59</f>
        <v>0</v>
      </c>
      <c r="Q63" s="125"/>
      <c r="R63" s="125"/>
      <c r="S63" s="125"/>
      <c r="T63" s="125"/>
      <c r="U63" s="125"/>
      <c r="V63" s="13"/>
      <c r="W63"/>
    </row>
    <row r="64" spans="1:23">
      <c r="A64" s="16"/>
      <c r="B64" s="16"/>
      <c r="C64" s="16"/>
      <c r="D64" s="17" t="s">
        <v>81</v>
      </c>
      <c r="E64" s="18" t="s">
        <v>188</v>
      </c>
      <c r="F64" s="40" t="s">
        <v>96</v>
      </c>
      <c r="K64" s="140"/>
      <c r="L64" s="26"/>
      <c r="M64" s="26"/>
      <c r="N64" s="31">
        <f>SUM(N62:N63)</f>
        <v>1.0949499188411325</v>
      </c>
      <c r="O64" s="31">
        <f>SUM(O62:O63)</f>
        <v>0.95888296683503227</v>
      </c>
      <c r="P64" s="31">
        <f>SUM(P62:P63)</f>
        <v>-4.3650321299541233</v>
      </c>
    </row>
    <row r="65" spans="1:23">
      <c r="A65" s="16"/>
      <c r="B65" s="16"/>
      <c r="C65" s="16"/>
      <c r="K65" s="140"/>
    </row>
    <row r="66" spans="1:23">
      <c r="A66" s="16"/>
      <c r="B66" s="16"/>
      <c r="C66" s="16"/>
      <c r="E66" s="40" t="s">
        <v>189</v>
      </c>
      <c r="K66" s="140"/>
    </row>
    <row r="67" spans="1:23">
      <c r="D67" s="23" t="s">
        <v>180</v>
      </c>
      <c r="E67" s="18" t="s">
        <v>190</v>
      </c>
      <c r="K67" s="140"/>
      <c r="L67" s="144" t="b">
        <f t="shared" ref="L67:O67" si="13">ABS(Perc.Recovered.Water)&gt;Additional.Analysis</f>
        <v>0</v>
      </c>
      <c r="M67" s="144" t="b">
        <f t="shared" si="13"/>
        <v>0</v>
      </c>
      <c r="N67" s="144" t="b">
        <f t="shared" si="13"/>
        <v>0</v>
      </c>
      <c r="O67" s="144" t="b">
        <f t="shared" si="13"/>
        <v>0</v>
      </c>
      <c r="P67" s="145" t="b">
        <f>ABS(Perc.Recovered.Water)&gt;Additional.Analysis</f>
        <v>0</v>
      </c>
    </row>
    <row r="68" spans="1:23">
      <c r="D68" s="23"/>
      <c r="E68" s="18"/>
    </row>
    <row r="69" spans="1:23" s="7" customFormat="1" ht="15">
      <c r="A69" s="134"/>
      <c r="B69" s="8"/>
      <c r="C69" s="8"/>
      <c r="D69" s="138"/>
      <c r="E69" s="135" t="s">
        <v>191</v>
      </c>
      <c r="F69" s="136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</row>
    <row r="71" spans="1:23">
      <c r="E71" s="40" t="s">
        <v>192</v>
      </c>
    </row>
    <row r="72" spans="1:23">
      <c r="D72" s="17" t="s">
        <v>81</v>
      </c>
      <c r="E72" s="18" t="s">
        <v>193</v>
      </c>
      <c r="F72" s="40" t="s">
        <v>96</v>
      </c>
      <c r="L72" s="26"/>
      <c r="M72" s="26"/>
      <c r="N72" s="26"/>
      <c r="O72" s="26"/>
      <c r="P72" s="31">
        <f>0-O43*(1+Discount.Rate)*Indexation.November.Actual.YearOnYear</f>
        <v>3.6440555640728345</v>
      </c>
    </row>
    <row r="73" spans="1:23">
      <c r="D73" s="17" t="s">
        <v>81</v>
      </c>
      <c r="E73" s="18" t="s">
        <v>194</v>
      </c>
      <c r="F73" s="40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40" t="s">
        <v>96</v>
      </c>
      <c r="L74" s="26"/>
      <c r="M74" s="26"/>
      <c r="N74" s="26"/>
      <c r="O74" s="26"/>
      <c r="P74" s="31">
        <f>SUM(P72:P73)</f>
        <v>3.6440555640728345</v>
      </c>
    </row>
    <row r="75" spans="1:23"/>
    <row r="76" spans="1:23">
      <c r="E76" s="40" t="s">
        <v>196</v>
      </c>
    </row>
    <row r="77" spans="1:23">
      <c r="D77" s="17" t="s">
        <v>81</v>
      </c>
      <c r="E77" s="18" t="s">
        <v>197</v>
      </c>
      <c r="F77" s="40" t="s">
        <v>96</v>
      </c>
      <c r="L77" s="26"/>
      <c r="M77" s="26"/>
      <c r="N77" s="26"/>
      <c r="O77" s="26"/>
      <c r="P77" s="31">
        <f>0-P43</f>
        <v>6.4973529057859309</v>
      </c>
    </row>
    <row r="78" spans="1:23">
      <c r="D78" s="17" t="s">
        <v>81</v>
      </c>
      <c r="E78" s="18" t="s">
        <v>198</v>
      </c>
      <c r="F78" s="40" t="s">
        <v>96</v>
      </c>
      <c r="L78" s="26"/>
      <c r="M78" s="26"/>
      <c r="N78" s="26"/>
      <c r="O78" s="26"/>
      <c r="P78" s="31">
        <f>P56</f>
        <v>-5.0725844649126571E-2</v>
      </c>
    </row>
    <row r="79" spans="1:23">
      <c r="D79" s="17" t="s">
        <v>81</v>
      </c>
      <c r="E79" s="18" t="s">
        <v>199</v>
      </c>
      <c r="F79" s="40" t="s">
        <v>96</v>
      </c>
      <c r="L79" s="26"/>
      <c r="M79" s="26"/>
      <c r="N79" s="26"/>
      <c r="O79" s="26"/>
      <c r="P79" s="31">
        <f>SUM(P77:P78)</f>
        <v>6.4466270611368044</v>
      </c>
    </row>
    <row r="80" spans="1:23">
      <c r="E80" s="18"/>
    </row>
    <row r="81" spans="1:23">
      <c r="E81" s="40" t="s">
        <v>245</v>
      </c>
    </row>
    <row r="82" spans="1:23">
      <c r="D82" s="17" t="s">
        <v>81</v>
      </c>
      <c r="E82" s="172" t="str">
        <f>E28</f>
        <v>AMP5 RCM adjustment to be applied at PR19 (Outturn price base)</v>
      </c>
      <c r="F82" s="40" t="s">
        <v>96</v>
      </c>
      <c r="L82" s="26"/>
      <c r="M82" s="26"/>
      <c r="N82" s="26"/>
      <c r="O82" s="26"/>
      <c r="P82" s="173">
        <f>P28</f>
        <v>0</v>
      </c>
    </row>
    <row r="83" spans="1:23">
      <c r="E83" s="18"/>
    </row>
    <row r="84" spans="1:23">
      <c r="D84" s="17" t="s">
        <v>81</v>
      </c>
      <c r="E84" s="35" t="s">
        <v>200</v>
      </c>
      <c r="F84" s="40" t="s">
        <v>96</v>
      </c>
      <c r="L84" s="26"/>
      <c r="M84" s="26"/>
      <c r="N84" s="26"/>
      <c r="O84" s="26"/>
      <c r="P84" s="173">
        <f>SUM(P74,P79,P82)</f>
        <v>10.090682625209638</v>
      </c>
      <c r="Q84" s="13" t="s">
        <v>201</v>
      </c>
    </row>
    <row r="85" spans="1:23" ht="13.5" thickBot="1">
      <c r="E85" s="22"/>
    </row>
    <row r="86" spans="1:23" ht="13.5" thickBot="1">
      <c r="A86" s="11" t="s">
        <v>111</v>
      </c>
      <c r="B86" s="12"/>
      <c r="C86" s="12"/>
      <c r="D86" s="12"/>
      <c r="E86" s="12"/>
      <c r="F86" s="4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/>
    <row r="178"/>
    <row r="179"/>
    <row r="180"/>
    <row r="181"/>
    <row r="182"/>
  </sheetData>
  <conditionalFormatting sqref="L53:P53">
    <cfRule type="cellIs" dxfId="3" priority="4" operator="equal">
      <formula>TRUE</formula>
    </cfRule>
  </conditionalFormatting>
  <conditionalFormatting sqref="L67:P67">
    <cfRule type="cellIs" dxfId="2" priority="3" operator="equal">
      <formula>TRUE</formula>
    </cfRule>
  </conditionalFormatting>
  <pageMargins left="0.7" right="0.7" top="0.75" bottom="0.75" header="0.3" footer="0.3"/>
  <pageSetup paperSize="8" scale="66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  <pageSetUpPr fitToPage="1"/>
  </sheetPr>
  <dimension ref="A1:W164"/>
  <sheetViews>
    <sheetView showGridLines="0" zoomScale="80" zoomScaleNormal="80" workbookViewId="0">
      <pane xSplit="8" ySplit="7" topLeftCell="I54" activePane="bottomRight" state="frozen"/>
      <selection activeCell="P85" sqref="P85"/>
      <selection pane="topRight" activeCell="P85" sqref="P85"/>
      <selection pane="bottomLeft" activeCell="P85" sqref="P85"/>
      <selection pane="bottomRight" activeCell="P87" sqref="P87"/>
    </sheetView>
  </sheetViews>
  <sheetFormatPr defaultColWidth="0" defaultRowHeight="12.75" zeroHeight="1"/>
  <cols>
    <col min="1" max="3" width="2.7109375" customWidth="1"/>
    <col min="4" max="4" width="9.140625" customWidth="1"/>
    <col min="5" max="5" width="68.85546875" customWidth="1"/>
    <col min="6" max="6" width="15.7109375" customWidth="1"/>
    <col min="7" max="7" width="7.85546875" customWidth="1"/>
    <col min="8" max="8" width="10.7109375" customWidth="1"/>
    <col min="9" max="21" width="10.5703125" customWidth="1"/>
    <col min="22" max="22" width="26.5703125" customWidth="1"/>
    <col min="23" max="23" width="9.140625" customWidth="1"/>
    <col min="24" max="28" width="0" hidden="1" customWidth="1"/>
  </cols>
  <sheetData>
    <row r="1" spans="1:23" s="2" customFormat="1" ht="33.75">
      <c r="A1" s="28"/>
      <c r="B1" s="28"/>
      <c r="C1" s="28"/>
      <c r="D1" s="28" t="s">
        <v>202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2" customFormat="1" ht="15">
      <c r="F2" s="16"/>
      <c r="G2" s="16"/>
      <c r="O2" s="16"/>
      <c r="P2" s="16"/>
    </row>
    <row r="3" spans="1:23" s="10" customFormat="1">
      <c r="A3" s="16"/>
      <c r="B3" s="16"/>
      <c r="C3" s="16"/>
      <c r="D3" s="16"/>
      <c r="E3" s="16" t="s">
        <v>57</v>
      </c>
      <c r="F3" s="16"/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</row>
    <row r="4" spans="1:23" s="10" customFormat="1">
      <c r="A4" s="133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</row>
    <row r="5" spans="1:23" s="10" customFormat="1">
      <c r="A5" s="16"/>
      <c r="B5" s="16"/>
      <c r="C5" s="16"/>
      <c r="D5" s="16"/>
      <c r="E5" s="16" t="s">
        <v>58</v>
      </c>
      <c r="F5" s="16"/>
      <c r="G5" s="16"/>
      <c r="H5" s="16"/>
      <c r="I5" s="14">
        <f t="shared" ref="I5:U5" si="1">Calendar.Years</f>
        <v>2012</v>
      </c>
      <c r="J5" s="14">
        <f t="shared" si="1"/>
        <v>2013</v>
      </c>
      <c r="K5" s="14">
        <f t="shared" si="1"/>
        <v>2014</v>
      </c>
      <c r="L5" s="14">
        <f t="shared" si="1"/>
        <v>2015</v>
      </c>
      <c r="M5" s="14">
        <f t="shared" si="1"/>
        <v>2016</v>
      </c>
      <c r="N5" s="14">
        <f t="shared" si="1"/>
        <v>2017</v>
      </c>
      <c r="O5" s="34">
        <f t="shared" si="1"/>
        <v>2018</v>
      </c>
      <c r="P5" s="34">
        <f t="shared" si="1"/>
        <v>2019</v>
      </c>
      <c r="Q5" s="14">
        <f t="shared" si="1"/>
        <v>2020</v>
      </c>
      <c r="R5" s="14">
        <f t="shared" si="1"/>
        <v>2021</v>
      </c>
      <c r="S5" s="14">
        <f t="shared" si="1"/>
        <v>2022</v>
      </c>
      <c r="T5" s="14">
        <f t="shared" si="1"/>
        <v>2023</v>
      </c>
      <c r="U5" s="14">
        <f t="shared" si="1"/>
        <v>2024</v>
      </c>
      <c r="V5" s="13"/>
      <c r="W5" s="16"/>
    </row>
    <row r="6" spans="1:23" s="10" customFormat="1">
      <c r="A6" s="16"/>
      <c r="B6" s="16"/>
      <c r="C6" s="16"/>
      <c r="D6" s="16"/>
      <c r="E6" s="16" t="s">
        <v>59</v>
      </c>
      <c r="F6" s="16"/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</row>
    <row r="7" spans="1:23"/>
    <row r="8" spans="1:23" s="7" customFormat="1" ht="15">
      <c r="A8" s="134"/>
      <c r="B8" s="8"/>
      <c r="C8" s="8"/>
      <c r="D8" s="138"/>
      <c r="E8" s="135" t="s">
        <v>144</v>
      </c>
      <c r="F8" s="27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</row>
    <row r="9" spans="1:23" s="10" customFormat="1">
      <c r="A9" s="16"/>
      <c r="B9" s="16"/>
      <c r="C9" s="16"/>
      <c r="D9" s="17"/>
      <c r="E9" s="16"/>
      <c r="F9" s="16"/>
      <c r="G9" s="16"/>
      <c r="H9" s="16"/>
      <c r="I9" s="16"/>
      <c r="J9" s="16"/>
      <c r="K9" s="16"/>
      <c r="L9" s="32"/>
      <c r="M9" s="32"/>
      <c r="N9" s="32"/>
      <c r="O9" s="32"/>
      <c r="P9" s="32"/>
      <c r="Q9" s="32"/>
      <c r="R9" s="32"/>
      <c r="S9" s="32"/>
      <c r="T9" s="32"/>
      <c r="U9" s="32"/>
      <c r="V9" s="16"/>
      <c r="W9" s="16"/>
    </row>
    <row r="10" spans="1:23" s="10" customFormat="1">
      <c r="A10" s="16"/>
      <c r="B10" s="16"/>
      <c r="C10" s="16"/>
      <c r="D10" s="17"/>
      <c r="E10" s="40" t="s">
        <v>145</v>
      </c>
      <c r="F10" s="16"/>
      <c r="G10" s="16"/>
      <c r="H10" s="16"/>
      <c r="I10" s="16"/>
      <c r="J10" s="16"/>
      <c r="K10" s="140"/>
      <c r="L10" s="125"/>
      <c r="M10" s="125"/>
      <c r="N10" s="125"/>
      <c r="O10" s="125"/>
      <c r="P10" s="125"/>
      <c r="Q10" s="125"/>
      <c r="R10" s="125"/>
      <c r="S10" s="32"/>
      <c r="T10" s="32"/>
      <c r="U10" s="32"/>
      <c r="V10" s="16"/>
      <c r="W10" s="16"/>
    </row>
    <row r="11" spans="1:23" s="10" customFormat="1">
      <c r="A11" s="16"/>
      <c r="B11" s="16"/>
      <c r="C11" s="16"/>
      <c r="D11" s="17"/>
      <c r="E11" s="9" t="s">
        <v>146</v>
      </c>
      <c r="F11" s="16"/>
      <c r="G11" s="16"/>
      <c r="H11" s="16"/>
      <c r="I11" s="16"/>
      <c r="J11" s="16"/>
      <c r="K11" s="16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6"/>
      <c r="W11" s="16"/>
    </row>
    <row r="12" spans="1:23" s="10" customFormat="1">
      <c r="A12" s="16"/>
      <c r="B12" s="16"/>
      <c r="C12" s="16"/>
      <c r="D12" s="17" t="s">
        <v>88</v>
      </c>
      <c r="E12" s="18" t="s">
        <v>87</v>
      </c>
      <c r="F12" s="40"/>
      <c r="G12" s="16"/>
      <c r="H12" s="16"/>
      <c r="I12" s="16"/>
      <c r="J12" s="16"/>
      <c r="K12" s="31"/>
      <c r="L12" s="31">
        <f>K.Waste</f>
        <v>0</v>
      </c>
      <c r="M12" s="31">
        <f>K.Waste</f>
        <v>0</v>
      </c>
      <c r="N12" s="31">
        <f>K.Waste</f>
        <v>0</v>
      </c>
      <c r="O12" s="31">
        <f>K.Waste</f>
        <v>0</v>
      </c>
      <c r="P12" s="31">
        <f>K.Waste</f>
        <v>0</v>
      </c>
      <c r="Q12" s="32"/>
      <c r="R12" s="32"/>
      <c r="S12" s="32"/>
      <c r="T12" s="32"/>
      <c r="U12" s="32"/>
      <c r="V12" s="16"/>
      <c r="W12" s="16"/>
    </row>
    <row r="13" spans="1:23" s="10" customFormat="1">
      <c r="A13" s="16"/>
      <c r="B13" s="16"/>
      <c r="C13" s="16"/>
      <c r="D13" s="17" t="s">
        <v>88</v>
      </c>
      <c r="E13" s="18" t="s">
        <v>147</v>
      </c>
      <c r="F13" s="40"/>
      <c r="G13" s="16"/>
      <c r="H13" s="16"/>
      <c r="I13" s="16"/>
      <c r="J13" s="16"/>
      <c r="K13" s="31"/>
      <c r="L13" s="31">
        <f>(Indexation.November.Actual.YearOnYear-1)*100</f>
        <v>1.983339944466489</v>
      </c>
      <c r="M13" s="31">
        <f>(Indexation.November.Actual.YearOnYear-1)*100</f>
        <v>1.0501750291715295</v>
      </c>
      <c r="N13" s="31">
        <f>(Indexation.November.Actual.YearOnYear-1)*100</f>
        <v>2.1939953810623525</v>
      </c>
      <c r="O13" s="31">
        <f>(Indexation.November.Actual.YearOnYear-1)*100</f>
        <v>3.8794726930320156</v>
      </c>
      <c r="P13" s="31">
        <f>(Indexation.November.Actual.YearOnYear-1)*100</f>
        <v>3.1907179115300943</v>
      </c>
      <c r="Q13" s="32"/>
      <c r="R13" s="32"/>
      <c r="S13" s="32"/>
      <c r="T13" s="32"/>
      <c r="U13" s="32"/>
      <c r="V13" s="16"/>
      <c r="W13" s="16"/>
    </row>
    <row r="14" spans="1:23" s="10" customFormat="1">
      <c r="A14" s="16"/>
      <c r="B14" s="16"/>
      <c r="C14" s="16"/>
      <c r="D14" s="17" t="s">
        <v>88</v>
      </c>
      <c r="E14" s="18" t="s">
        <v>148</v>
      </c>
      <c r="F14" s="40"/>
      <c r="G14" s="16"/>
      <c r="H14" s="16"/>
      <c r="I14" s="16"/>
      <c r="J14" s="16"/>
      <c r="K14" s="31"/>
      <c r="L14" s="31">
        <f>1+(L13+L12)/100</f>
        <v>1.0198333994446649</v>
      </c>
      <c r="M14" s="31">
        <f>1+(M13+M12)/100</f>
        <v>1.0105017502917153</v>
      </c>
      <c r="N14" s="31">
        <f t="shared" ref="N14:P14" si="2">1+(N13+N12)/100</f>
        <v>1.0219399538106235</v>
      </c>
      <c r="O14" s="31">
        <f t="shared" si="2"/>
        <v>1.0387947269303202</v>
      </c>
      <c r="P14" s="31">
        <f t="shared" si="2"/>
        <v>1.0319071791153009</v>
      </c>
      <c r="Q14" s="32"/>
      <c r="R14" s="32"/>
      <c r="S14" s="32"/>
      <c r="T14" s="32"/>
      <c r="U14" s="32"/>
      <c r="V14" s="16"/>
      <c r="W14" s="16"/>
    </row>
    <row r="15" spans="1:23" s="10" customFormat="1">
      <c r="A15" s="16"/>
      <c r="B15" s="16"/>
      <c r="C15" s="16"/>
      <c r="D15" s="17" t="s">
        <v>81</v>
      </c>
      <c r="E15" s="18" t="s">
        <v>149</v>
      </c>
      <c r="F15" s="40" t="s">
        <v>96</v>
      </c>
      <c r="G15" s="16"/>
      <c r="H15" s="16"/>
      <c r="I15" s="16"/>
      <c r="J15" s="16"/>
      <c r="K15" s="31">
        <f>AllRev.Waste</f>
        <v>0</v>
      </c>
      <c r="L15" s="31">
        <f>K15*L14</f>
        <v>0</v>
      </c>
      <c r="M15" s="31">
        <f>L15*M14</f>
        <v>0</v>
      </c>
      <c r="N15" s="31">
        <f>M15*N14</f>
        <v>0</v>
      </c>
      <c r="O15" s="31">
        <f t="shared" ref="O15:P15" si="3">N15*O14</f>
        <v>0</v>
      </c>
      <c r="P15" s="31">
        <f t="shared" si="3"/>
        <v>0</v>
      </c>
      <c r="Q15" s="125"/>
      <c r="R15" s="125"/>
      <c r="S15" s="125"/>
      <c r="T15" s="125"/>
      <c r="U15" s="125"/>
      <c r="V15" s="13" t="s">
        <v>203</v>
      </c>
      <c r="W15" s="16"/>
    </row>
    <row r="16" spans="1:23" s="10" customFormat="1">
      <c r="A16" s="16"/>
      <c r="B16" s="16"/>
      <c r="C16" s="16"/>
      <c r="D16" s="17"/>
      <c r="E16" s="16"/>
      <c r="F16" s="40"/>
      <c r="G16" s="16"/>
      <c r="H16" s="16"/>
      <c r="I16" s="16"/>
      <c r="J16" s="16"/>
      <c r="K16" s="16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"/>
      <c r="W16" s="16"/>
    </row>
    <row r="17" spans="1:23" s="10" customFormat="1">
      <c r="D17" s="17"/>
      <c r="E17" s="40" t="s">
        <v>151</v>
      </c>
      <c r="F17" s="40"/>
      <c r="G17" s="16"/>
      <c r="H17" s="16"/>
      <c r="I17" s="16"/>
      <c r="J17" s="16"/>
      <c r="K17" s="16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6"/>
    </row>
    <row r="18" spans="1:23" s="10" customFormat="1">
      <c r="D18" s="17"/>
      <c r="E18" s="9" t="s">
        <v>152</v>
      </c>
      <c r="F18" s="4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16"/>
    </row>
    <row r="19" spans="1:23" s="10" customFormat="1">
      <c r="D19" s="17" t="s">
        <v>81</v>
      </c>
      <c r="E19" s="18" t="s">
        <v>153</v>
      </c>
      <c r="F19" s="40" t="s">
        <v>103</v>
      </c>
      <c r="G19" s="16"/>
      <c r="H19" s="16"/>
      <c r="I19" s="16"/>
      <c r="J19" s="16"/>
      <c r="K19" s="141">
        <f>BlindYear.1415.Adj.Waste</f>
        <v>0</v>
      </c>
      <c r="L19" s="13" t="s">
        <v>204</v>
      </c>
      <c r="M19" s="16"/>
      <c r="N19" s="16"/>
      <c r="O19" s="16"/>
      <c r="P19" s="16"/>
      <c r="Q19" s="16"/>
      <c r="R19" s="16"/>
      <c r="S19" s="32"/>
      <c r="T19" s="32"/>
      <c r="U19" s="32"/>
      <c r="V19" s="16"/>
    </row>
    <row r="20" spans="1:23" s="10" customFormat="1">
      <c r="D20" s="146" t="s">
        <v>81</v>
      </c>
      <c r="E20" s="148" t="s">
        <v>155</v>
      </c>
      <c r="F20" s="149" t="s">
        <v>103</v>
      </c>
      <c r="G20" s="140"/>
      <c r="H20" s="140"/>
      <c r="I20" s="140"/>
      <c r="J20" s="140"/>
      <c r="K20" s="31">
        <f>AMP5.RCM.Adj.Waste</f>
        <v>0</v>
      </c>
      <c r="L20" s="31">
        <f>K20*(1+Discount.Rate)</f>
        <v>0</v>
      </c>
      <c r="M20" s="31">
        <f>L20*(1+Discount.Rate)</f>
        <v>0</v>
      </c>
      <c r="N20" s="31">
        <f>M20*(1+Discount.Rate)</f>
        <v>0</v>
      </c>
      <c r="O20" s="31">
        <f>N20*(1+Discount.Rate)</f>
        <v>0</v>
      </c>
      <c r="P20" s="31">
        <f>O20*(1+Discount.Rate)</f>
        <v>0</v>
      </c>
      <c r="Q20" s="16"/>
      <c r="R20" s="16"/>
      <c r="S20" s="32"/>
      <c r="T20" s="32"/>
      <c r="U20" s="32"/>
      <c r="V20" s="16"/>
    </row>
    <row r="21" spans="1:23" s="10" customFormat="1">
      <c r="D21" s="146" t="s">
        <v>135</v>
      </c>
      <c r="E21" s="148" t="str">
        <f>Data!E45</f>
        <v>Percentage of blind year adjustment by year - waste</v>
      </c>
      <c r="F21" s="149" t="s">
        <v>156</v>
      </c>
      <c r="G21" s="140"/>
      <c r="H21" s="140"/>
      <c r="I21" s="140"/>
      <c r="J21" s="140"/>
      <c r="K21" s="26"/>
      <c r="L21" s="26"/>
      <c r="M21" s="26"/>
      <c r="N21" s="152">
        <f>Data!N45</f>
        <v>0</v>
      </c>
      <c r="O21" s="152">
        <f>Data!O45</f>
        <v>0</v>
      </c>
      <c r="P21" s="152">
        <f>Data!P45</f>
        <v>0</v>
      </c>
      <c r="Q21" s="16"/>
      <c r="R21" s="16"/>
      <c r="S21" s="32"/>
      <c r="T21" s="32"/>
      <c r="U21" s="32"/>
      <c r="V21" s="16"/>
    </row>
    <row r="22" spans="1:23" s="10" customFormat="1">
      <c r="D22" s="17" t="s">
        <v>81</v>
      </c>
      <c r="E22" s="18" t="s">
        <v>157</v>
      </c>
      <c r="F22" s="40" t="s">
        <v>103</v>
      </c>
      <c r="G22" s="16"/>
      <c r="H22" s="16"/>
      <c r="I22" s="16"/>
      <c r="J22" s="16"/>
      <c r="K22" s="26"/>
      <c r="L22" s="26"/>
      <c r="M22" s="26"/>
      <c r="N22" s="31">
        <f t="shared" ref="N22:P22" si="4">N20*N21</f>
        <v>0</v>
      </c>
      <c r="O22" s="31">
        <f t="shared" si="4"/>
        <v>0</v>
      </c>
      <c r="P22" s="31">
        <f t="shared" si="4"/>
        <v>0</v>
      </c>
      <c r="Q22" s="141"/>
      <c r="R22" s="141"/>
      <c r="S22" s="32"/>
      <c r="T22" s="32"/>
      <c r="U22" s="32"/>
      <c r="V22" s="16"/>
    </row>
    <row r="23" spans="1:23" s="10" customFormat="1">
      <c r="D23" s="17" t="s">
        <v>81</v>
      </c>
      <c r="E23" s="18" t="s">
        <v>158</v>
      </c>
      <c r="F23" s="40" t="s">
        <v>96</v>
      </c>
      <c r="G23" s="16"/>
      <c r="H23" s="16"/>
      <c r="I23" s="16"/>
      <c r="J23" s="16"/>
      <c r="K23" s="26"/>
      <c r="L23" s="26"/>
      <c r="M23" s="26"/>
      <c r="N23" s="31">
        <f>N22*Indexation.November.Actual</f>
        <v>0</v>
      </c>
      <c r="O23" s="31">
        <f t="shared" ref="O23:P23" si="5">O22*Indexation.November.Actual</f>
        <v>0</v>
      </c>
      <c r="P23" s="31">
        <f t="shared" si="5"/>
        <v>0</v>
      </c>
      <c r="Q23" s="31"/>
      <c r="R23" s="31"/>
      <c r="S23" s="125"/>
      <c r="T23" s="125"/>
      <c r="U23" s="125"/>
      <c r="V23" s="13" t="s">
        <v>205</v>
      </c>
    </row>
    <row r="24" spans="1:23" s="10" customFormat="1">
      <c r="D24" s="17"/>
      <c r="E24" s="18"/>
      <c r="F24" s="40"/>
      <c r="G24" s="16"/>
      <c r="H24" s="16"/>
      <c r="I24" s="16"/>
      <c r="J24" s="16"/>
      <c r="K24" s="16"/>
      <c r="L24" s="32"/>
      <c r="M24" s="32"/>
      <c r="N24" s="32"/>
      <c r="O24" s="32"/>
      <c r="P24" s="32"/>
      <c r="Q24" s="31"/>
      <c r="R24" s="31"/>
      <c r="S24" s="125"/>
      <c r="T24" s="125"/>
      <c r="U24" s="125"/>
      <c r="V24" s="13"/>
    </row>
    <row r="25" spans="1:23" s="10" customFormat="1">
      <c r="D25" s="17" t="s">
        <v>135</v>
      </c>
      <c r="E25" s="172" t="s">
        <v>250</v>
      </c>
      <c r="F25" s="40" t="s">
        <v>156</v>
      </c>
      <c r="G25" s="16"/>
      <c r="H25" s="16"/>
      <c r="I25" s="16"/>
      <c r="J25" s="16"/>
      <c r="K25" s="26"/>
      <c r="L25" s="26"/>
      <c r="M25" s="26"/>
      <c r="N25" s="26"/>
      <c r="O25" s="26"/>
      <c r="P25" s="174">
        <f xml:space="preserve"> 1 - SUM(N21:P21)</f>
        <v>1</v>
      </c>
      <c r="Q25" s="31"/>
      <c r="R25" s="31"/>
      <c r="S25" s="125"/>
      <c r="T25" s="125"/>
      <c r="U25" s="125"/>
      <c r="V25" s="13"/>
    </row>
    <row r="26" spans="1:23" s="10" customFormat="1">
      <c r="A26" s="16"/>
      <c r="B26" s="16"/>
      <c r="C26" s="16"/>
      <c r="D26" s="17" t="s">
        <v>81</v>
      </c>
      <c r="E26" s="172" t="s">
        <v>246</v>
      </c>
      <c r="F26" s="149" t="s">
        <v>103</v>
      </c>
      <c r="G26" s="16"/>
      <c r="H26" s="16"/>
      <c r="I26" s="16"/>
      <c r="J26" s="16"/>
      <c r="K26" s="26"/>
      <c r="L26" s="113"/>
      <c r="M26" s="26"/>
      <c r="N26" s="26"/>
      <c r="O26" s="26"/>
      <c r="P26" s="173">
        <f xml:space="preserve"> P20*(1+Discount.Rate)</f>
        <v>0</v>
      </c>
      <c r="Q26" s="31"/>
      <c r="R26" s="31"/>
      <c r="S26" s="125"/>
      <c r="T26" s="125"/>
      <c r="U26" s="125"/>
      <c r="V26" s="13"/>
      <c r="W26" s="16"/>
    </row>
    <row r="27" spans="1:23" s="10" customFormat="1">
      <c r="A27" s="16"/>
      <c r="B27" s="16"/>
      <c r="C27" s="16"/>
      <c r="D27" s="17" t="s">
        <v>81</v>
      </c>
      <c r="E27" s="172" t="s">
        <v>247</v>
      </c>
      <c r="F27" s="149" t="s">
        <v>103</v>
      </c>
      <c r="G27" s="16"/>
      <c r="H27" s="16"/>
      <c r="I27" s="16"/>
      <c r="J27" s="16"/>
      <c r="K27" s="26"/>
      <c r="L27" s="113"/>
      <c r="M27" s="26"/>
      <c r="N27" s="26"/>
      <c r="O27" s="26"/>
      <c r="P27" s="173">
        <f xml:space="preserve"> P25 * P26</f>
        <v>0</v>
      </c>
      <c r="Q27" s="31"/>
      <c r="R27" s="31"/>
      <c r="S27" s="125"/>
      <c r="T27" s="125"/>
      <c r="U27" s="125"/>
      <c r="V27" s="13"/>
      <c r="W27" s="16"/>
    </row>
    <row r="28" spans="1:23" s="10" customFormat="1">
      <c r="A28" s="16"/>
      <c r="B28" s="16"/>
      <c r="C28" s="16"/>
      <c r="D28" s="17" t="s">
        <v>81</v>
      </c>
      <c r="E28" s="172" t="s">
        <v>248</v>
      </c>
      <c r="F28" s="40" t="s">
        <v>96</v>
      </c>
      <c r="G28" s="16"/>
      <c r="H28" s="16"/>
      <c r="I28" s="16"/>
      <c r="J28" s="16"/>
      <c r="K28" s="26"/>
      <c r="L28" s="113"/>
      <c r="M28" s="26"/>
      <c r="N28" s="26"/>
      <c r="O28" s="26"/>
      <c r="P28" s="173">
        <f>P27*Indexation.November.Actual</f>
        <v>0</v>
      </c>
      <c r="Q28" s="31"/>
      <c r="R28" s="31"/>
      <c r="S28" s="125"/>
      <c r="T28" s="125"/>
      <c r="U28" s="125"/>
      <c r="V28" s="13"/>
      <c r="W28" s="16"/>
    </row>
    <row r="29" spans="1:23" s="10" customFormat="1">
      <c r="D29" s="17"/>
      <c r="E29" s="16"/>
      <c r="F29" s="40"/>
      <c r="G29" s="16"/>
      <c r="H29" s="16"/>
      <c r="I29" s="16"/>
      <c r="J29" s="16"/>
      <c r="K29" s="16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6"/>
    </row>
    <row r="30" spans="1:23" s="10" customFormat="1">
      <c r="D30" s="17"/>
      <c r="E30" s="40" t="s">
        <v>160</v>
      </c>
      <c r="F30" s="40"/>
      <c r="G30" s="16"/>
      <c r="H30" s="16"/>
      <c r="I30" s="16"/>
      <c r="J30" s="16"/>
      <c r="K30" s="16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6"/>
    </row>
    <row r="31" spans="1:23" s="10" customFormat="1">
      <c r="D31" s="17"/>
      <c r="E31" s="9" t="s">
        <v>161</v>
      </c>
      <c r="F31" s="40"/>
      <c r="G31" s="16"/>
      <c r="H31" s="16"/>
      <c r="I31" s="16"/>
      <c r="J31" s="16"/>
      <c r="K31" s="140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6"/>
    </row>
    <row r="32" spans="1:23" s="10" customFormat="1">
      <c r="D32" s="17" t="s">
        <v>81</v>
      </c>
      <c r="E32" s="18" t="s">
        <v>162</v>
      </c>
      <c r="F32" s="40" t="s">
        <v>96</v>
      </c>
      <c r="G32" s="16"/>
      <c r="H32" s="16"/>
      <c r="I32" s="16"/>
      <c r="J32" s="16"/>
      <c r="K32" s="140"/>
      <c r="L32" s="31">
        <f>J48+J58</f>
        <v>0</v>
      </c>
      <c r="M32" s="31">
        <f t="shared" ref="M32:P32" si="6">K48+K58</f>
        <v>0</v>
      </c>
      <c r="N32" s="31">
        <f t="shared" si="6"/>
        <v>0</v>
      </c>
      <c r="O32" s="31">
        <f t="shared" si="6"/>
        <v>0</v>
      </c>
      <c r="P32" s="31">
        <f t="shared" si="6"/>
        <v>0</v>
      </c>
      <c r="Q32" s="31"/>
      <c r="R32" s="31"/>
      <c r="S32" s="30"/>
      <c r="T32" s="30"/>
      <c r="U32" s="30"/>
      <c r="V32" s="13" t="s">
        <v>206</v>
      </c>
    </row>
    <row r="33" spans="1:22" s="10" customFormat="1">
      <c r="D33" s="148" t="str">
        <f>Data!D12</f>
        <v>True/False</v>
      </c>
      <c r="E33" s="148" t="str">
        <f>Data!E12</f>
        <v>Company has accepted WRFIM licence modification</v>
      </c>
      <c r="F33" s="148"/>
      <c r="G33" s="148" t="b">
        <f>Data!G12</f>
        <v>1</v>
      </c>
      <c r="H33" s="148" t="str">
        <f>Data!H12</f>
        <v>True/False</v>
      </c>
      <c r="I33" s="140"/>
      <c r="J33" s="140"/>
      <c r="K33" s="140"/>
      <c r="L33" s="31"/>
      <c r="M33" s="31"/>
      <c r="N33" s="31"/>
      <c r="O33" s="31"/>
      <c r="P33" s="31"/>
      <c r="Q33" s="31"/>
      <c r="R33" s="31"/>
      <c r="S33" s="20"/>
      <c r="T33" s="20"/>
      <c r="U33" s="20"/>
      <c r="V33" s="13"/>
    </row>
    <row r="34" spans="1:22" s="10" customFormat="1">
      <c r="D34" s="146" t="s">
        <v>81</v>
      </c>
      <c r="E34" s="148" t="str">
        <f>Data!E51</f>
        <v>Over-recovered 17/18 revenue returned - wastewater</v>
      </c>
      <c r="F34" s="149" t="s">
        <v>96</v>
      </c>
      <c r="G34" s="148"/>
      <c r="H34" s="148"/>
      <c r="I34" s="140"/>
      <c r="J34" s="140"/>
      <c r="K34" s="140"/>
      <c r="L34" s="125"/>
      <c r="M34" s="125"/>
      <c r="N34" s="125"/>
      <c r="O34" s="166">
        <f>(0 - Data!O51)</f>
        <v>0</v>
      </c>
      <c r="P34" s="125"/>
      <c r="Q34" s="31"/>
      <c r="R34" s="31"/>
      <c r="S34" s="20"/>
      <c r="T34" s="20"/>
      <c r="U34" s="20"/>
      <c r="V34" s="13"/>
    </row>
    <row r="35" spans="1:22" s="10" customFormat="1">
      <c r="D35" s="146" t="s">
        <v>81</v>
      </c>
      <c r="E35" s="148" t="s">
        <v>244</v>
      </c>
      <c r="F35" s="149" t="s">
        <v>96</v>
      </c>
      <c r="G35" s="148"/>
      <c r="H35" s="148"/>
      <c r="I35" s="140"/>
      <c r="J35" s="140"/>
      <c r="K35" s="140"/>
      <c r="L35" s="125"/>
      <c r="M35" s="125"/>
      <c r="N35" s="125"/>
      <c r="O35" s="125"/>
      <c r="P35" s="166">
        <f>(0-O34*(1+Discount.Rate))*(INDEX(Indexation.November.Actual.YearOnYear,,MATCH(P$5,Calendar.Years,0)))</f>
        <v>0</v>
      </c>
      <c r="Q35" s="31"/>
      <c r="R35" s="31"/>
      <c r="S35" s="20"/>
      <c r="T35" s="20"/>
      <c r="U35" s="20"/>
      <c r="V35" s="13"/>
    </row>
    <row r="36" spans="1:22" s="10" customFormat="1">
      <c r="D36" s="146" t="s">
        <v>81</v>
      </c>
      <c r="E36" s="148" t="str">
        <f>Data!E54</f>
        <v>Over-recovered 18/19 revenue returned - wastewater</v>
      </c>
      <c r="F36" s="149" t="s">
        <v>96</v>
      </c>
      <c r="G36" s="148"/>
      <c r="H36" s="148"/>
      <c r="I36" s="140"/>
      <c r="J36" s="140"/>
      <c r="K36" s="140"/>
      <c r="L36" s="125"/>
      <c r="M36" s="125"/>
      <c r="N36" s="125"/>
      <c r="O36" s="125"/>
      <c r="P36" s="166">
        <f>(0 - Data!P54)</f>
        <v>0</v>
      </c>
      <c r="Q36" s="31"/>
      <c r="R36" s="31"/>
      <c r="S36" s="20"/>
      <c r="T36" s="20"/>
      <c r="U36" s="20"/>
      <c r="V36" s="13"/>
    </row>
    <row r="37" spans="1:22" s="10" customFormat="1">
      <c r="D37" s="146" t="s">
        <v>81</v>
      </c>
      <c r="E37" s="148" t="s">
        <v>164</v>
      </c>
      <c r="F37" s="149" t="s">
        <v>96</v>
      </c>
      <c r="G37" s="153"/>
      <c r="H37" s="153"/>
      <c r="I37" s="153"/>
      <c r="J37" s="153"/>
      <c r="K37" s="153"/>
      <c r="L37" s="125">
        <f>L15</f>
        <v>0</v>
      </c>
      <c r="M37" s="125">
        <f>M15</f>
        <v>0</v>
      </c>
      <c r="N37" s="125">
        <f>N15</f>
        <v>0</v>
      </c>
      <c r="O37" s="125">
        <f>O15</f>
        <v>0</v>
      </c>
      <c r="P37" s="125">
        <f>P15</f>
        <v>0</v>
      </c>
      <c r="Q37" s="32"/>
      <c r="R37" s="32"/>
      <c r="S37" s="32"/>
      <c r="T37" s="32"/>
      <c r="U37" s="32"/>
      <c r="V37" s="16"/>
    </row>
    <row r="38" spans="1:22" s="10" customFormat="1">
      <c r="D38" s="146" t="s">
        <v>81</v>
      </c>
      <c r="E38" s="148" t="s">
        <v>165</v>
      </c>
      <c r="F38" s="149" t="s">
        <v>96</v>
      </c>
      <c r="G38" s="140"/>
      <c r="H38" s="140"/>
      <c r="I38" s="140"/>
      <c r="J38" s="140"/>
      <c r="K38" s="140"/>
      <c r="L38" s="167">
        <f>AllRev.Outturn.Waste+RCM.BlindYear.Adj.Waste+AMP6.FI.Adj.Waste+L34+L35+L36</f>
        <v>0</v>
      </c>
      <c r="M38" s="167">
        <f>AllRev.Outturn.Waste+RCM.BlindYear.Adj.Waste+AMP6.FI.Adj.Waste+M34+M35+M36</f>
        <v>0</v>
      </c>
      <c r="N38" s="167">
        <f>AllRev.Outturn.Waste+RCM.BlindYear.Adj.Waste+AMP6.FI.Adj.Waste+N34+N35+N36</f>
        <v>0</v>
      </c>
      <c r="O38" s="167">
        <f>AllRev.Outturn.Waste+RCM.BlindYear.Adj.Waste+AMP6.FI.Adj.Waste+O34+O35+O36</f>
        <v>0</v>
      </c>
      <c r="P38" s="167">
        <f>AllRev.Outturn.Waste+RCM.BlindYear.Adj.Waste+AMP6.FI.Adj.Waste+P34+P35+P36</f>
        <v>0</v>
      </c>
      <c r="Q38" s="32"/>
      <c r="R38" s="32"/>
      <c r="S38" s="32"/>
      <c r="T38" s="32"/>
      <c r="U38" s="32"/>
      <c r="V38" s="13" t="s">
        <v>207</v>
      </c>
    </row>
    <row r="39" spans="1:22" s="10" customFormat="1">
      <c r="D39" s="146" t="s">
        <v>81</v>
      </c>
      <c r="E39" s="148" t="s">
        <v>167</v>
      </c>
      <c r="F39" s="149" t="s">
        <v>96</v>
      </c>
      <c r="G39" s="153"/>
      <c r="H39" s="153"/>
      <c r="I39" s="153"/>
      <c r="J39" s="153"/>
      <c r="K39" s="153"/>
      <c r="L39" s="31">
        <f>IF($G33=TRUE,L38,MIN(L37:L38))</f>
        <v>0</v>
      </c>
      <c r="M39" s="31">
        <f t="shared" ref="M39:P39" si="7">IF($G33=TRUE,M38,MIN(M37:M38))</f>
        <v>0</v>
      </c>
      <c r="N39" s="31">
        <f t="shared" si="7"/>
        <v>0</v>
      </c>
      <c r="O39" s="31">
        <f t="shared" si="7"/>
        <v>0</v>
      </c>
      <c r="P39" s="31">
        <f t="shared" si="7"/>
        <v>0</v>
      </c>
      <c r="Q39" s="31"/>
      <c r="R39" s="31"/>
      <c r="S39" s="20"/>
      <c r="T39" s="20"/>
      <c r="U39" s="20"/>
      <c r="V39" s="13" t="s">
        <v>208</v>
      </c>
    </row>
    <row r="40" spans="1:22" s="10" customFormat="1">
      <c r="D40" s="17"/>
      <c r="E40" s="18"/>
      <c r="F40" s="40"/>
      <c r="G40" s="16"/>
      <c r="H40" s="16"/>
      <c r="I40" s="16"/>
      <c r="J40" s="16"/>
      <c r="K40" s="140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6"/>
    </row>
    <row r="41" spans="1:22" s="10" customFormat="1">
      <c r="A41" s="16"/>
      <c r="B41" s="16"/>
      <c r="C41" s="16"/>
      <c r="D41" s="17" t="s">
        <v>81</v>
      </c>
      <c r="E41" s="18" t="s">
        <v>169</v>
      </c>
      <c r="F41" s="40" t="s">
        <v>96</v>
      </c>
      <c r="G41" s="16"/>
      <c r="H41" s="16"/>
      <c r="I41" s="16"/>
      <c r="J41" s="16"/>
      <c r="K41" s="140"/>
      <c r="L41" s="31">
        <f>RecRev.Waste</f>
        <v>0</v>
      </c>
      <c r="M41" s="141">
        <f>RecRev.Waste</f>
        <v>0</v>
      </c>
      <c r="N41" s="141">
        <f>RecRev.Waste</f>
        <v>0</v>
      </c>
      <c r="O41" s="141">
        <f>RecRev.Waste</f>
        <v>0</v>
      </c>
      <c r="P41" s="141">
        <f>RecRev.Waste</f>
        <v>0</v>
      </c>
      <c r="Q41" s="32"/>
      <c r="R41" s="32"/>
      <c r="S41" s="32"/>
      <c r="T41" s="32"/>
      <c r="U41" s="32"/>
      <c r="V41" s="13"/>
    </row>
    <row r="42" spans="1:22" s="10" customFormat="1">
      <c r="A42" s="16"/>
      <c r="B42" s="16"/>
      <c r="C42" s="16"/>
      <c r="D42" s="17"/>
      <c r="E42" s="18"/>
      <c r="F42" s="40"/>
      <c r="G42" s="16"/>
      <c r="H42" s="16"/>
      <c r="I42" s="16"/>
      <c r="J42" s="16"/>
      <c r="K42" s="140"/>
      <c r="L42" s="32"/>
      <c r="M42" s="32"/>
      <c r="N42" s="32"/>
      <c r="O42" s="32"/>
      <c r="P42" s="32"/>
      <c r="Q42" s="125"/>
      <c r="R42" s="125"/>
      <c r="S42" s="125"/>
      <c r="T42" s="125"/>
      <c r="U42" s="125"/>
      <c r="V42" s="16"/>
    </row>
    <row r="43" spans="1:22" s="10" customFormat="1">
      <c r="A43" s="16"/>
      <c r="B43" s="16"/>
      <c r="C43" s="16"/>
      <c r="D43" s="17" t="s">
        <v>81</v>
      </c>
      <c r="E43" s="18" t="s">
        <v>170</v>
      </c>
      <c r="F43" s="40" t="s">
        <v>96</v>
      </c>
      <c r="G43" s="16"/>
      <c r="H43" s="16"/>
      <c r="I43" s="16"/>
      <c r="J43" s="16"/>
      <c r="K43" s="140"/>
      <c r="L43" s="125">
        <f t="shared" ref="L43:M43" si="8">L41-L38</f>
        <v>0</v>
      </c>
      <c r="M43" s="125">
        <f t="shared" si="8"/>
        <v>0</v>
      </c>
      <c r="N43" s="125">
        <f>N41-N38</f>
        <v>0</v>
      </c>
      <c r="O43" s="125">
        <f t="shared" ref="O43:P43" si="9">O41-O38</f>
        <v>0</v>
      </c>
      <c r="P43" s="125">
        <f t="shared" si="9"/>
        <v>0</v>
      </c>
      <c r="Q43" s="32"/>
      <c r="R43" s="32"/>
      <c r="S43" s="32"/>
      <c r="T43" s="32"/>
      <c r="U43" s="32"/>
      <c r="V43" s="16"/>
    </row>
    <row r="44" spans="1:22" s="19" customFormat="1">
      <c r="A44" s="16"/>
      <c r="B44" s="16"/>
      <c r="C44" s="16"/>
      <c r="D44" s="17" t="s">
        <v>68</v>
      </c>
      <c r="E44" s="18" t="s">
        <v>171</v>
      </c>
      <c r="F44" s="40"/>
      <c r="G44" s="16"/>
      <c r="H44" s="16"/>
      <c r="I44" s="16"/>
      <c r="J44" s="16"/>
      <c r="K44" s="140"/>
      <c r="L44" s="142">
        <f>IF(L38=0,0,L43/L38)</f>
        <v>0</v>
      </c>
      <c r="M44" s="142">
        <f t="shared" ref="M44:P44" si="10">IF(M38=0,0,M43/M38)</f>
        <v>0</v>
      </c>
      <c r="N44" s="142">
        <f t="shared" si="10"/>
        <v>0</v>
      </c>
      <c r="O44" s="142">
        <f t="shared" si="10"/>
        <v>0</v>
      </c>
      <c r="P44" s="142">
        <f t="shared" si="10"/>
        <v>0</v>
      </c>
      <c r="Q44" s="32"/>
      <c r="R44" s="32"/>
      <c r="S44" s="32"/>
      <c r="T44" s="32"/>
      <c r="U44" s="32"/>
      <c r="V44" s="13" t="s">
        <v>209</v>
      </c>
    </row>
    <row r="45" spans="1:22" s="25" customFormat="1">
      <c r="A45" s="16"/>
      <c r="B45" s="16"/>
      <c r="C45" s="16"/>
      <c r="D45" s="17"/>
      <c r="E45" s="18"/>
      <c r="F45" s="42"/>
      <c r="K45" s="140"/>
      <c r="L45" s="142"/>
      <c r="M45" s="142"/>
      <c r="N45" s="142"/>
      <c r="O45" s="142"/>
      <c r="P45" s="142"/>
      <c r="Q45" s="125"/>
      <c r="R45" s="125"/>
      <c r="S45" s="125"/>
      <c r="T45" s="125"/>
      <c r="U45" s="125"/>
      <c r="V45" s="13"/>
    </row>
    <row r="46" spans="1:22" s="25" customFormat="1">
      <c r="A46" s="16"/>
      <c r="B46" s="16"/>
      <c r="C46" s="16"/>
      <c r="D46" s="17"/>
      <c r="E46" s="35" t="s">
        <v>173</v>
      </c>
      <c r="F46" s="42"/>
      <c r="K46" s="140"/>
      <c r="L46" s="142"/>
      <c r="M46" s="142"/>
      <c r="N46" s="142"/>
      <c r="O46" s="142"/>
      <c r="P46" s="142"/>
      <c r="Q46" s="125"/>
      <c r="R46" s="125"/>
      <c r="S46" s="125"/>
      <c r="T46" s="125"/>
      <c r="U46" s="125"/>
      <c r="V46" s="13"/>
    </row>
    <row r="47" spans="1:22" s="25" customFormat="1">
      <c r="A47" s="16"/>
      <c r="B47" s="16"/>
      <c r="C47" s="16"/>
      <c r="D47" s="17" t="s">
        <v>81</v>
      </c>
      <c r="E47" s="18" t="s">
        <v>174</v>
      </c>
      <c r="F47" s="40" t="s">
        <v>96</v>
      </c>
      <c r="J47" s="26">
        <v>0</v>
      </c>
      <c r="K47" s="26">
        <v>0</v>
      </c>
      <c r="L47" s="31">
        <f>0-L43*(1+Discount.Rate)*(1+Discount.Rate)</f>
        <v>0</v>
      </c>
      <c r="M47" s="31">
        <f>0-M43*(1+Discount.Rate)*(1+Discount.Rate)</f>
        <v>0</v>
      </c>
      <c r="N47" s="31">
        <f>0-N43*(1+Discount.Rate)*(1+Discount.Rate)</f>
        <v>0</v>
      </c>
      <c r="O47" s="26"/>
      <c r="P47" s="26"/>
      <c r="Q47" s="125"/>
      <c r="R47" s="125"/>
      <c r="S47" s="125"/>
      <c r="T47" s="125"/>
      <c r="U47" s="125"/>
      <c r="V47" s="13"/>
    </row>
    <row r="48" spans="1:22">
      <c r="A48" s="16"/>
      <c r="B48" s="16"/>
      <c r="C48" s="16"/>
      <c r="D48" s="17" t="s">
        <v>81</v>
      </c>
      <c r="E48" s="18" t="s">
        <v>175</v>
      </c>
      <c r="F48" s="40" t="s">
        <v>176</v>
      </c>
      <c r="G48" s="25"/>
      <c r="H48" s="25"/>
      <c r="I48" s="25"/>
      <c r="J48" s="113">
        <v>0</v>
      </c>
      <c r="K48" s="26">
        <v>0</v>
      </c>
      <c r="L48" s="31">
        <f>L47*INDEX(Indexation.November.Actual.YearOnYear,,MATCH(M$5,Calendar.Years,0))*(INDEX(Indexation.November.Actual.YearOnYear,,MATCH(N$5,Calendar.Years,0)))</f>
        <v>0</v>
      </c>
      <c r="M48" s="31">
        <f>M47*INDEX(Indexation.November.Actual.YearOnYear,,MATCH(N$5,Calendar.Years,0))*(INDEX(Indexation.November.Actual.YearOnYear,,MATCH(O$5,Calendar.Years,0)))</f>
        <v>0</v>
      </c>
      <c r="N48" s="31">
        <f>N47*INDEX(Indexation.November.Actual.YearOnYear,,MATCH(O$5,Calendar.Years,0))*(INDEX(Indexation.November.Actual.YearOnYear,,MATCH(P$5,Calendar.Years,0)))</f>
        <v>0</v>
      </c>
      <c r="O48" s="26"/>
      <c r="P48" s="26"/>
    </row>
    <row r="49" spans="1:21">
      <c r="A49" s="16"/>
      <c r="B49" s="16"/>
      <c r="C49" s="16"/>
      <c r="D49" s="17" t="s">
        <v>81</v>
      </c>
      <c r="E49" s="18" t="s">
        <v>177</v>
      </c>
      <c r="F49" s="40" t="s">
        <v>96</v>
      </c>
      <c r="G49" s="25"/>
      <c r="H49" s="25"/>
      <c r="I49" s="25"/>
      <c r="J49" s="26"/>
      <c r="K49" s="26"/>
      <c r="L49" s="26"/>
      <c r="M49" s="26"/>
      <c r="N49" s="31">
        <f>L48</f>
        <v>0</v>
      </c>
      <c r="O49" s="31">
        <f>M48</f>
        <v>0</v>
      </c>
      <c r="P49" s="31">
        <f>N48</f>
        <v>0</v>
      </c>
    </row>
    <row r="50" spans="1:21">
      <c r="A50" s="16"/>
      <c r="B50" s="16"/>
      <c r="C50" s="16"/>
      <c r="D50" s="17"/>
      <c r="E50" s="21"/>
      <c r="F50" s="40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21">
      <c r="A51" s="16"/>
      <c r="B51" s="16"/>
      <c r="C51" s="16"/>
      <c r="D51" s="17"/>
      <c r="E51" s="35" t="s">
        <v>178</v>
      </c>
      <c r="F51" s="40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21">
      <c r="A52" s="16"/>
      <c r="B52" s="16"/>
      <c r="C52" s="16"/>
      <c r="D52" s="17" t="s">
        <v>68</v>
      </c>
      <c r="E52" s="18" t="s">
        <v>179</v>
      </c>
      <c r="F52" s="40"/>
      <c r="G52" s="25"/>
      <c r="H52" s="25"/>
      <c r="I52" s="25"/>
      <c r="J52" s="25"/>
      <c r="K52" s="25"/>
      <c r="L52" s="142">
        <f>IF(L39=0,0,ABS((L41-L39)/L39))</f>
        <v>0</v>
      </c>
      <c r="M52" s="142">
        <f t="shared" ref="M52:P52" si="11">IF(M39=0,0,ABS((M41-M39)/M39))</f>
        <v>0</v>
      </c>
      <c r="N52" s="142">
        <f t="shared" si="11"/>
        <v>0</v>
      </c>
      <c r="O52" s="142">
        <f t="shared" si="11"/>
        <v>0</v>
      </c>
      <c r="P52" s="142">
        <f t="shared" si="11"/>
        <v>0</v>
      </c>
    </row>
    <row r="53" spans="1:21">
      <c r="A53" s="16"/>
      <c r="B53" s="16"/>
      <c r="C53" s="16"/>
      <c r="D53" s="23" t="s">
        <v>180</v>
      </c>
      <c r="E53" s="18" t="s">
        <v>181</v>
      </c>
      <c r="F53" s="40"/>
      <c r="G53" s="16"/>
      <c r="H53" s="16"/>
      <c r="I53" s="16"/>
      <c r="J53" s="16"/>
      <c r="K53" s="140"/>
      <c r="L53" s="144" t="b">
        <f>L52&gt;Threshold.Min</f>
        <v>0</v>
      </c>
      <c r="M53" s="144" t="b">
        <f>M52&gt;Threshold.Min</f>
        <v>0</v>
      </c>
      <c r="N53" s="144" t="b">
        <f>N52&gt;Threshold.Min</f>
        <v>0</v>
      </c>
      <c r="O53" s="144" t="b">
        <f>O52&gt;Threshold.Min</f>
        <v>0</v>
      </c>
      <c r="P53" s="144" t="b">
        <f>P52&gt;Threshold.Min</f>
        <v>0</v>
      </c>
      <c r="Q53" s="32"/>
      <c r="R53" s="32"/>
      <c r="S53" s="32"/>
      <c r="T53" s="32"/>
      <c r="U53" s="32"/>
    </row>
    <row r="54" spans="1:21">
      <c r="A54" s="16"/>
      <c r="B54" s="16"/>
      <c r="C54" s="16"/>
      <c r="D54" s="17" t="s">
        <v>68</v>
      </c>
      <c r="E54" s="18" t="s">
        <v>182</v>
      </c>
      <c r="F54" s="42"/>
      <c r="K54" s="140"/>
      <c r="L54" s="142">
        <f>L53*Penalty.Rate.General*MIN(1,(L52-Threshold.Min)/(Threshold.Max-Threshold.Min))</f>
        <v>0</v>
      </c>
      <c r="M54" s="142">
        <f>M53*Penalty.Rate.General*MIN(1,(M52-Threshold.Min)/(Threshold.Max-Threshold.Min))</f>
        <v>0</v>
      </c>
      <c r="N54" s="142">
        <f>N53*Penalty.Rate.General*MIN(1,(N52-Threshold.Min)/(Threshold.Max-Threshold.Min))</f>
        <v>0</v>
      </c>
      <c r="O54" s="142">
        <f>O53*Penalty.Rate.General*MIN(1,(O52-Threshold.Min)/(Threshold.Max-Threshold.Min))</f>
        <v>0</v>
      </c>
      <c r="P54" s="142">
        <f>P53*Penalty.Rate.General*MIN(1,(P52-Threshold.Min)/(Threshold.Max-Threshold.Min))</f>
        <v>0</v>
      </c>
      <c r="Q54" s="32"/>
      <c r="R54" s="32"/>
      <c r="S54" s="32"/>
      <c r="T54" s="32"/>
      <c r="U54" s="32"/>
    </row>
    <row r="55" spans="1:21">
      <c r="A55" s="16"/>
      <c r="B55" s="16"/>
      <c r="C55" s="16"/>
      <c r="D55" s="17"/>
      <c r="E55" s="35"/>
      <c r="F55" s="40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21">
      <c r="A56" s="16"/>
      <c r="B56" s="16"/>
      <c r="C56" s="16"/>
      <c r="D56" s="17" t="s">
        <v>81</v>
      </c>
      <c r="E56" s="18" t="s">
        <v>183</v>
      </c>
      <c r="F56" s="40" t="s">
        <v>96</v>
      </c>
      <c r="G56" s="25"/>
      <c r="H56" s="25"/>
      <c r="I56" s="25"/>
      <c r="J56" s="26"/>
      <c r="K56" s="26"/>
      <c r="L56" s="31">
        <f>0-L54*ABS(L41-L39)</f>
        <v>0</v>
      </c>
      <c r="M56" s="31">
        <f>0-M54*ABS(M41-M39)</f>
        <v>0</v>
      </c>
      <c r="N56" s="31">
        <f>0-N54*ABS(N41-N39)</f>
        <v>0</v>
      </c>
      <c r="O56" s="31">
        <f t="shared" ref="O56:P56" si="12">0-O54*ABS(O41-O39)</f>
        <v>0</v>
      </c>
      <c r="P56" s="31">
        <f t="shared" si="12"/>
        <v>0</v>
      </c>
    </row>
    <row r="57" spans="1:21">
      <c r="A57" s="16"/>
      <c r="B57" s="16"/>
      <c r="C57" s="16"/>
      <c r="D57" s="17" t="s">
        <v>81</v>
      </c>
      <c r="E57" s="18" t="s">
        <v>184</v>
      </c>
      <c r="F57" s="40" t="s">
        <v>96</v>
      </c>
      <c r="G57" s="25"/>
      <c r="H57" s="25"/>
      <c r="I57" s="25"/>
      <c r="J57" s="113"/>
      <c r="K57" s="26"/>
      <c r="L57" s="31">
        <f>L56*(1+Discount.Rate)</f>
        <v>0</v>
      </c>
      <c r="M57" s="31">
        <f>M56*(1+Discount.Rate)</f>
        <v>0</v>
      </c>
      <c r="N57" s="31">
        <f>N56*(1+Discount.Rate)</f>
        <v>0</v>
      </c>
      <c r="O57" s="26"/>
      <c r="P57" s="26"/>
    </row>
    <row r="58" spans="1:21">
      <c r="A58" s="16"/>
      <c r="B58" s="16"/>
      <c r="C58" s="16"/>
      <c r="D58" s="17" t="s">
        <v>81</v>
      </c>
      <c r="E58" s="18" t="s">
        <v>185</v>
      </c>
      <c r="F58" s="40" t="s">
        <v>96</v>
      </c>
      <c r="G58" s="25"/>
      <c r="H58" s="25"/>
      <c r="I58" s="25"/>
      <c r="J58" s="26"/>
      <c r="K58" s="26"/>
      <c r="L58" s="31">
        <f>L57*INDEX(Indexation.November.Actual.YearOnYear,,MATCH(M$5,Calendar.Years,0))*(INDEX(Indexation.November.Actual.YearOnYear,,MATCH(N$5,Calendar.Years,0)))</f>
        <v>0</v>
      </c>
      <c r="M58" s="31">
        <f>M57*INDEX(Indexation.November.Actual.YearOnYear,,MATCH(N$5,Calendar.Years,0))*(INDEX(Indexation.November.Actual.YearOnYear,,MATCH(O$5,Calendar.Years,0)))</f>
        <v>0</v>
      </c>
      <c r="N58" s="31">
        <f>N57*INDEX(Indexation.November.Actual.YearOnYear,,MATCH(O$5,Calendar.Years,0))*(INDEX(Indexation.November.Actual.YearOnYear,,MATCH(P$5,Calendar.Years,0)))</f>
        <v>0</v>
      </c>
      <c r="O58" s="26"/>
      <c r="P58" s="26"/>
    </row>
    <row r="59" spans="1:21">
      <c r="A59" s="16"/>
      <c r="B59" s="16"/>
      <c r="C59" s="16"/>
      <c r="D59" s="17" t="s">
        <v>81</v>
      </c>
      <c r="E59" s="18" t="s">
        <v>186</v>
      </c>
      <c r="F59" s="40" t="s">
        <v>96</v>
      </c>
      <c r="G59" s="25"/>
      <c r="H59" s="25"/>
      <c r="I59" s="25"/>
      <c r="J59" s="26"/>
      <c r="K59" s="26"/>
      <c r="L59" s="26"/>
      <c r="M59" s="26"/>
      <c r="N59" s="31">
        <f>L58</f>
        <v>0</v>
      </c>
      <c r="O59" s="31">
        <f>M58</f>
        <v>0</v>
      </c>
      <c r="P59" s="31">
        <f>N58</f>
        <v>0</v>
      </c>
    </row>
    <row r="60" spans="1:21">
      <c r="A60" s="16"/>
      <c r="B60" s="16"/>
      <c r="C60" s="16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21">
      <c r="A61" s="16"/>
      <c r="B61" s="16"/>
      <c r="C61" s="16"/>
      <c r="D61" s="25"/>
      <c r="E61" s="35" t="s">
        <v>187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21">
      <c r="A62" s="16"/>
      <c r="B62" s="16"/>
      <c r="C62" s="16"/>
      <c r="D62" s="17" t="s">
        <v>81</v>
      </c>
      <c r="E62" s="18" t="s">
        <v>177</v>
      </c>
      <c r="F62" s="40" t="s">
        <v>96</v>
      </c>
      <c r="G62" s="25"/>
      <c r="H62" s="25"/>
      <c r="I62" s="25"/>
      <c r="J62" s="25"/>
      <c r="K62" s="25"/>
      <c r="L62" s="26"/>
      <c r="M62" s="26"/>
      <c r="N62" s="31">
        <f>N49</f>
        <v>0</v>
      </c>
      <c r="O62" s="31">
        <f>O49</f>
        <v>0</v>
      </c>
      <c r="P62" s="31">
        <f>P49</f>
        <v>0</v>
      </c>
    </row>
    <row r="63" spans="1:21">
      <c r="A63" s="16"/>
      <c r="B63" s="16"/>
      <c r="C63" s="16"/>
      <c r="D63" s="17" t="s">
        <v>81</v>
      </c>
      <c r="E63" s="18" t="s">
        <v>186</v>
      </c>
      <c r="F63" s="40" t="s">
        <v>96</v>
      </c>
      <c r="G63" s="25"/>
      <c r="H63" s="25"/>
      <c r="I63" s="25"/>
      <c r="J63" s="25"/>
      <c r="K63" s="25"/>
      <c r="L63" s="26"/>
      <c r="M63" s="26"/>
      <c r="N63" s="31">
        <f>N59</f>
        <v>0</v>
      </c>
      <c r="O63" s="31">
        <f>O59</f>
        <v>0</v>
      </c>
      <c r="P63" s="31">
        <f>P59</f>
        <v>0</v>
      </c>
    </row>
    <row r="64" spans="1:21">
      <c r="A64" s="16"/>
      <c r="B64" s="16"/>
      <c r="C64" s="16"/>
      <c r="D64" s="17" t="s">
        <v>81</v>
      </c>
      <c r="E64" s="18" t="s">
        <v>188</v>
      </c>
      <c r="F64" s="40" t="s">
        <v>96</v>
      </c>
      <c r="K64" s="140"/>
      <c r="L64" s="26"/>
      <c r="M64" s="26"/>
      <c r="N64" s="31">
        <f>SUM(N62:N63)</f>
        <v>0</v>
      </c>
      <c r="O64" s="31">
        <f>SUM(O62:O63)</f>
        <v>0</v>
      </c>
      <c r="P64" s="31">
        <f>SUM(P62:P63)</f>
        <v>0</v>
      </c>
    </row>
    <row r="65" spans="1:23">
      <c r="A65" s="16"/>
      <c r="B65" s="16"/>
      <c r="C65" s="16"/>
      <c r="F65" s="42"/>
      <c r="K65" s="140"/>
    </row>
    <row r="66" spans="1:23">
      <c r="E66" s="40" t="s">
        <v>189</v>
      </c>
      <c r="F66" s="42"/>
      <c r="K66" s="140"/>
    </row>
    <row r="67" spans="1:23">
      <c r="D67" s="23" t="s">
        <v>180</v>
      </c>
      <c r="E67" s="18" t="s">
        <v>190</v>
      </c>
      <c r="F67" s="42"/>
      <c r="K67" s="140"/>
      <c r="L67" s="144" t="b">
        <f>ABS(Perc.Recovered.Waste)&gt;Additional.Analysis</f>
        <v>0</v>
      </c>
      <c r="M67" s="144" t="b">
        <f>ABS(Perc.Recovered.Waste)&gt;Additional.Analysis</f>
        <v>0</v>
      </c>
      <c r="N67" s="144" t="b">
        <f>ABS(Perc.Recovered.Waste)&gt;Additional.Analysis</f>
        <v>0</v>
      </c>
      <c r="O67" s="144" t="b">
        <f>ABS(Perc.Recovered.Waste)&gt;Additional.Analysis</f>
        <v>0</v>
      </c>
      <c r="P67" s="144" t="b">
        <f>ABS(Perc.Recovered.Waste)&gt;Additional.Analysis</f>
        <v>0</v>
      </c>
    </row>
    <row r="68" spans="1:23">
      <c r="D68" s="23"/>
      <c r="E68" s="18"/>
      <c r="F68" s="42"/>
    </row>
    <row r="69" spans="1:23" s="7" customFormat="1" ht="15">
      <c r="A69" s="134"/>
      <c r="B69" s="8"/>
      <c r="C69" s="8"/>
      <c r="D69" s="138"/>
      <c r="E69" s="135" t="s">
        <v>191</v>
      </c>
      <c r="F69" s="136"/>
      <c r="G69" s="27"/>
      <c r="H69" s="27"/>
      <c r="I69" s="27"/>
      <c r="J69" s="27"/>
      <c r="K69" s="27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7"/>
      <c r="W69" s="27"/>
    </row>
    <row r="70" spans="1:23">
      <c r="E70" s="18"/>
      <c r="F70" s="42"/>
    </row>
    <row r="71" spans="1:23">
      <c r="E71" s="40" t="s">
        <v>192</v>
      </c>
      <c r="F71" s="42"/>
    </row>
    <row r="72" spans="1:23">
      <c r="D72" s="17" t="s">
        <v>81</v>
      </c>
      <c r="E72" s="18" t="s">
        <v>193</v>
      </c>
      <c r="F72" s="40" t="s">
        <v>96</v>
      </c>
      <c r="L72" s="26"/>
      <c r="M72" s="26"/>
      <c r="N72" s="26"/>
      <c r="O72" s="26"/>
      <c r="P72" s="31">
        <f>0-O43*(1+Discount.Rate)*Indexation.November.Actual.YearOnYear</f>
        <v>0</v>
      </c>
    </row>
    <row r="73" spans="1:23">
      <c r="D73" s="17" t="s">
        <v>81</v>
      </c>
      <c r="E73" s="18" t="s">
        <v>194</v>
      </c>
      <c r="F73" s="40" t="s">
        <v>96</v>
      </c>
      <c r="L73" s="26"/>
      <c r="M73" s="26"/>
      <c r="N73" s="26"/>
      <c r="O73" s="26"/>
      <c r="P73" s="31">
        <f>O56*Indexation.November.Actual.YearOnYear</f>
        <v>0</v>
      </c>
    </row>
    <row r="74" spans="1:23">
      <c r="D74" s="17" t="s">
        <v>81</v>
      </c>
      <c r="E74" s="18" t="s">
        <v>195</v>
      </c>
      <c r="F74" s="40" t="s">
        <v>96</v>
      </c>
      <c r="L74" s="26"/>
      <c r="M74" s="26"/>
      <c r="N74" s="26"/>
      <c r="O74" s="26"/>
      <c r="P74" s="31">
        <f>SUM(P72:P73)</f>
        <v>0</v>
      </c>
    </row>
    <row r="75" spans="1:23">
      <c r="F75" s="42"/>
    </row>
    <row r="76" spans="1:23">
      <c r="E76" s="40" t="s">
        <v>196</v>
      </c>
      <c r="F76" s="42"/>
    </row>
    <row r="77" spans="1:23">
      <c r="D77" s="17" t="s">
        <v>81</v>
      </c>
      <c r="E77" s="18" t="s">
        <v>197</v>
      </c>
      <c r="F77" s="40" t="s">
        <v>96</v>
      </c>
      <c r="L77" s="26"/>
      <c r="M77" s="26"/>
      <c r="N77" s="26"/>
      <c r="O77" s="26"/>
      <c r="P77" s="31">
        <f>0-P43</f>
        <v>0</v>
      </c>
    </row>
    <row r="78" spans="1:23">
      <c r="D78" s="17" t="s">
        <v>81</v>
      </c>
      <c r="E78" s="18" t="s">
        <v>198</v>
      </c>
      <c r="F78" s="40" t="s">
        <v>96</v>
      </c>
      <c r="L78" s="26"/>
      <c r="M78" s="26"/>
      <c r="N78" s="26"/>
      <c r="O78" s="26"/>
      <c r="P78" s="31">
        <f>P56</f>
        <v>0</v>
      </c>
    </row>
    <row r="79" spans="1:23">
      <c r="D79" s="17" t="s">
        <v>81</v>
      </c>
      <c r="E79" s="18" t="s">
        <v>199</v>
      </c>
      <c r="F79" s="40" t="s">
        <v>96</v>
      </c>
      <c r="L79" s="26"/>
      <c r="M79" s="26"/>
      <c r="N79" s="26"/>
      <c r="O79" s="26"/>
      <c r="P79" s="31">
        <f>SUM(P77:P78)</f>
        <v>0</v>
      </c>
    </row>
    <row r="80" spans="1:23">
      <c r="E80" s="18"/>
      <c r="F80" s="42"/>
    </row>
    <row r="81" spans="1:23">
      <c r="E81" s="40" t="s">
        <v>245</v>
      </c>
      <c r="F81" s="42"/>
    </row>
    <row r="82" spans="1:23">
      <c r="D82" s="17" t="s">
        <v>81</v>
      </c>
      <c r="E82" s="172" t="str">
        <f>E28</f>
        <v>AMP5 RCM adjustment to be applied at PR19 (Outturn price base)</v>
      </c>
      <c r="F82" s="40" t="s">
        <v>96</v>
      </c>
      <c r="L82" s="26"/>
      <c r="M82" s="26"/>
      <c r="N82" s="26"/>
      <c r="O82" s="26"/>
      <c r="P82" s="173">
        <f>P28</f>
        <v>0</v>
      </c>
    </row>
    <row r="83" spans="1:23">
      <c r="E83" s="18"/>
      <c r="F83" s="42"/>
    </row>
    <row r="84" spans="1:23">
      <c r="D84" s="17" t="s">
        <v>81</v>
      </c>
      <c r="E84" s="35" t="s">
        <v>200</v>
      </c>
      <c r="F84" s="40" t="s">
        <v>96</v>
      </c>
      <c r="L84" s="26"/>
      <c r="M84" s="26"/>
      <c r="N84" s="26"/>
      <c r="O84" s="26"/>
      <c r="P84" s="173">
        <f>SUM(P74,P79,P82)</f>
        <v>0</v>
      </c>
      <c r="Q84" s="13" t="s">
        <v>210</v>
      </c>
    </row>
    <row r="85" spans="1:23" ht="13.5" thickBot="1">
      <c r="E85" s="22"/>
      <c r="F85" s="42"/>
    </row>
    <row r="86" spans="1:23" ht="13.5" thickBot="1">
      <c r="A86" s="11" t="s">
        <v>111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/>
    <row r="88" spans="1:23" hidden="1"/>
    <row r="89" spans="1:23" hidden="1"/>
    <row r="90" spans="1:23" hidden="1"/>
    <row r="91" spans="1:23" hidden="1"/>
    <row r="92" spans="1:23" hidden="1"/>
    <row r="93" spans="1:23" hidden="1"/>
    <row r="94" spans="1:23" hidden="1"/>
    <row r="95" spans="1:23" hidden="1"/>
    <row r="96" spans="1:2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/>
    <row r="163"/>
    <row r="164"/>
  </sheetData>
  <conditionalFormatting sqref="L67:P67">
    <cfRule type="cellIs" dxfId="1" priority="2" operator="equal">
      <formula>TRUE</formula>
    </cfRule>
  </conditionalFormatting>
  <conditionalFormatting sqref="L53:P5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X15"/>
  <sheetViews>
    <sheetView showGridLines="0" showRowColHeaders="0" zoomScale="75" zoomScaleNormal="75" workbookViewId="0">
      <selection activeCell="A20" sqref="A20"/>
    </sheetView>
  </sheetViews>
  <sheetFormatPr defaultColWidth="0" defaultRowHeight="12.75" customHeight="1" zeroHeight="1"/>
  <cols>
    <col min="1" max="2" width="8" style="37" customWidth="1"/>
    <col min="3" max="3" width="8" style="37" hidden="1" customWidth="1"/>
    <col min="4" max="4" width="9.140625" hidden="1" customWidth="1"/>
    <col min="5" max="5" width="27" hidden="1" customWidth="1"/>
    <col min="6" max="8" width="9.140625" hidden="1" customWidth="1"/>
    <col min="9" max="24" width="10.85546875" hidden="1" customWidth="1"/>
    <col min="25" max="16384" width="9.140625" hidden="1"/>
  </cols>
  <sheetData>
    <row r="1" spans="1:24" ht="15.75" customHeight="1">
      <c r="A1" s="36"/>
    </row>
    <row r="2" spans="1:24" ht="15">
      <c r="A2" s="38"/>
      <c r="B2" s="38"/>
      <c r="C2" s="38"/>
      <c r="D2" s="2"/>
      <c r="E2" s="2"/>
      <c r="F2" s="16"/>
      <c r="G2" s="16"/>
      <c r="H2" s="2"/>
      <c r="I2" s="2"/>
      <c r="J2" s="2"/>
      <c r="K2" s="2"/>
      <c r="L2" s="2"/>
      <c r="M2" s="2"/>
      <c r="N2" s="2"/>
      <c r="O2" s="16"/>
      <c r="P2" s="16"/>
      <c r="Q2" s="2"/>
      <c r="R2" s="2"/>
      <c r="S2" s="2"/>
      <c r="T2" s="2"/>
      <c r="U2" s="2"/>
      <c r="V2" s="2"/>
      <c r="W2" s="2"/>
      <c r="X2" s="2"/>
    </row>
    <row r="3" spans="1:24" ht="15" hidden="1">
      <c r="A3" s="38"/>
      <c r="B3" s="38"/>
      <c r="C3" s="38"/>
      <c r="D3" s="2"/>
      <c r="E3" s="2"/>
      <c r="F3" s="16"/>
      <c r="G3" s="16"/>
      <c r="H3" s="2"/>
      <c r="I3" s="2"/>
      <c r="J3" s="2"/>
      <c r="K3" s="2"/>
      <c r="L3" s="2"/>
      <c r="M3" s="2"/>
      <c r="N3" s="2"/>
      <c r="O3" s="16"/>
      <c r="P3" s="16"/>
      <c r="Q3" s="2"/>
      <c r="R3" s="2"/>
      <c r="S3" s="2"/>
      <c r="T3" s="2"/>
      <c r="U3" s="2"/>
      <c r="V3" s="2"/>
      <c r="W3" s="2"/>
      <c r="X3" s="2"/>
    </row>
    <row r="4" spans="1:24" ht="15" hidden="1">
      <c r="A4" s="38"/>
      <c r="B4" s="38"/>
      <c r="C4" s="38"/>
      <c r="D4" s="2"/>
      <c r="E4" s="2"/>
      <c r="F4" s="16"/>
      <c r="G4" s="16"/>
      <c r="H4" s="2"/>
      <c r="I4" s="2"/>
      <c r="J4" s="2"/>
      <c r="K4" s="2"/>
      <c r="L4" s="2"/>
      <c r="M4" s="2"/>
      <c r="N4" s="2"/>
      <c r="O4" s="16"/>
      <c r="P4" s="16"/>
      <c r="Q4" s="2"/>
      <c r="R4" s="2"/>
      <c r="S4" s="2"/>
      <c r="T4" s="2"/>
      <c r="U4" s="2"/>
      <c r="V4" s="2"/>
      <c r="W4" s="2"/>
      <c r="X4" s="2"/>
    </row>
    <row r="5" spans="1:24" ht="15" hidden="1">
      <c r="A5" s="38"/>
      <c r="B5" s="38"/>
      <c r="C5" s="38"/>
      <c r="D5" s="2"/>
      <c r="E5" s="2"/>
      <c r="F5" s="16"/>
      <c r="G5" s="16"/>
      <c r="H5" s="2"/>
      <c r="I5" s="2"/>
      <c r="J5" s="2"/>
      <c r="K5" s="2"/>
      <c r="L5" s="2"/>
      <c r="M5" s="2"/>
      <c r="N5" s="2"/>
      <c r="O5" s="16"/>
      <c r="P5" s="16"/>
      <c r="Q5" s="2"/>
      <c r="R5" s="2"/>
      <c r="S5" s="2"/>
      <c r="T5" s="2"/>
      <c r="U5" s="2"/>
      <c r="V5" s="2"/>
      <c r="W5" s="2"/>
      <c r="X5" s="2"/>
    </row>
    <row r="6" spans="1:24" ht="15" hidden="1">
      <c r="A6" s="38"/>
      <c r="B6" s="38"/>
      <c r="C6" s="38"/>
      <c r="D6" s="2"/>
      <c r="E6" s="2"/>
      <c r="F6" s="16"/>
      <c r="G6" s="16"/>
      <c r="H6" s="2"/>
      <c r="I6" s="2"/>
      <c r="J6" s="2"/>
      <c r="K6" s="2"/>
      <c r="L6" s="2"/>
      <c r="M6" s="2"/>
      <c r="N6" s="2"/>
      <c r="O6" s="16"/>
      <c r="P6" s="16"/>
      <c r="Q6" s="2"/>
      <c r="R6" s="2"/>
      <c r="S6" s="2"/>
      <c r="T6" s="2"/>
      <c r="U6" s="2"/>
      <c r="V6" s="2"/>
      <c r="W6" s="2"/>
      <c r="X6" s="2"/>
    </row>
    <row r="7" spans="1:24" ht="15" hidden="1">
      <c r="A7" s="38"/>
      <c r="B7" s="38"/>
      <c r="C7" s="38"/>
      <c r="D7" s="2"/>
      <c r="E7" s="2"/>
      <c r="F7" s="16"/>
      <c r="G7" s="16"/>
      <c r="H7" s="2"/>
      <c r="I7" s="2"/>
      <c r="J7" s="2"/>
      <c r="K7" s="2"/>
      <c r="L7" s="2"/>
      <c r="M7" s="2"/>
      <c r="N7" s="2"/>
      <c r="O7" s="16"/>
      <c r="P7" s="16"/>
      <c r="Q7" s="2"/>
      <c r="R7" s="2"/>
      <c r="S7" s="2"/>
      <c r="T7" s="2"/>
      <c r="U7" s="2"/>
      <c r="V7" s="2"/>
      <c r="W7" s="2"/>
      <c r="X7" s="2"/>
    </row>
    <row r="8" spans="1:24" ht="15" hidden="1">
      <c r="A8" s="38"/>
      <c r="B8" s="38"/>
      <c r="C8" s="38"/>
      <c r="D8" s="2"/>
      <c r="E8" s="2"/>
      <c r="F8" s="16"/>
      <c r="G8" s="16"/>
      <c r="H8" s="2"/>
      <c r="I8" s="2"/>
      <c r="J8" s="2"/>
      <c r="K8" s="2"/>
      <c r="L8" s="2"/>
      <c r="M8" s="2"/>
      <c r="N8" s="2"/>
      <c r="O8" s="16"/>
      <c r="P8" s="16"/>
      <c r="Q8" s="2"/>
      <c r="R8" s="2"/>
      <c r="S8" s="2"/>
      <c r="T8" s="2"/>
      <c r="U8" s="2"/>
      <c r="V8" s="2"/>
      <c r="W8" s="2"/>
      <c r="X8" s="2"/>
    </row>
    <row r="9" spans="1:24" ht="15" hidden="1">
      <c r="A9" s="38"/>
      <c r="B9" s="38"/>
      <c r="C9" s="38"/>
      <c r="D9" s="2"/>
      <c r="E9" s="2"/>
      <c r="F9" s="16"/>
      <c r="G9" s="16"/>
      <c r="H9" s="2"/>
      <c r="I9" s="2"/>
      <c r="J9" s="2"/>
      <c r="K9" s="2"/>
      <c r="L9" s="2"/>
      <c r="M9" s="2"/>
      <c r="N9" s="2"/>
      <c r="O9" s="16"/>
      <c r="P9" s="16"/>
      <c r="Q9" s="2"/>
      <c r="R9" s="2"/>
      <c r="S9" s="2"/>
      <c r="T9" s="2"/>
      <c r="U9" s="2"/>
      <c r="V9" s="2"/>
      <c r="W9" s="2"/>
      <c r="X9" s="2"/>
    </row>
    <row r="10" spans="1:24" ht="15" hidden="1">
      <c r="A10" s="38"/>
      <c r="B10" s="38"/>
      <c r="C10" s="38"/>
      <c r="D10" s="2"/>
      <c r="E10" s="2"/>
      <c r="F10" s="16"/>
      <c r="G10" s="16"/>
      <c r="H10" s="2"/>
      <c r="I10" s="2"/>
      <c r="J10" s="2"/>
      <c r="K10" s="2"/>
      <c r="L10" s="2"/>
      <c r="M10" s="2"/>
      <c r="N10" s="2"/>
      <c r="O10" s="16"/>
      <c r="P10" s="16"/>
      <c r="Q10" s="2"/>
      <c r="R10" s="2"/>
      <c r="S10" s="2"/>
      <c r="T10" s="2"/>
      <c r="U10" s="2"/>
      <c r="V10" s="2"/>
      <c r="W10" s="2"/>
      <c r="X10" s="2"/>
    </row>
    <row r="11" spans="1:24" ht="15" hidden="1">
      <c r="A11" s="38"/>
      <c r="B11" s="38"/>
      <c r="C11" s="38"/>
      <c r="D11" s="2"/>
      <c r="E11" s="2"/>
      <c r="F11" s="16"/>
      <c r="G11" s="16"/>
      <c r="H11" s="2"/>
      <c r="I11" s="2"/>
      <c r="J11" s="2"/>
      <c r="K11" s="2"/>
      <c r="L11" s="2"/>
      <c r="M11" s="2"/>
      <c r="N11" s="2"/>
      <c r="O11" s="16"/>
      <c r="P11" s="16"/>
      <c r="Q11" s="2"/>
      <c r="R11" s="2"/>
      <c r="S11" s="2"/>
      <c r="T11" s="2"/>
      <c r="U11" s="2"/>
      <c r="V11" s="2"/>
      <c r="W11" s="2"/>
      <c r="X11" s="2"/>
    </row>
    <row r="12" spans="1:24" ht="15" hidden="1">
      <c r="A12" s="38"/>
      <c r="B12" s="38"/>
      <c r="C12" s="38"/>
      <c r="D12" s="2"/>
      <c r="E12" s="2"/>
      <c r="F12" s="16"/>
      <c r="G12" s="16"/>
      <c r="H12" s="2"/>
      <c r="I12" s="2"/>
      <c r="J12" s="2"/>
      <c r="K12" s="2"/>
      <c r="L12" s="2"/>
      <c r="M12" s="2"/>
      <c r="N12" s="2"/>
      <c r="O12" s="16"/>
      <c r="P12" s="16"/>
      <c r="Q12" s="2"/>
      <c r="R12" s="2"/>
      <c r="S12" s="2"/>
      <c r="T12" s="2"/>
      <c r="U12" s="2"/>
      <c r="V12" s="2"/>
      <c r="W12" s="2"/>
      <c r="X12" s="2"/>
    </row>
    <row r="13" spans="1:24" ht="15" hidden="1">
      <c r="A13" s="38"/>
      <c r="B13" s="38"/>
      <c r="C13" s="38"/>
      <c r="D13" s="2"/>
      <c r="E13" s="2"/>
      <c r="F13" s="16"/>
      <c r="G13" s="16"/>
      <c r="H13" s="2"/>
      <c r="I13" s="2"/>
      <c r="J13" s="2"/>
      <c r="K13" s="2"/>
      <c r="L13" s="2"/>
      <c r="M13" s="2"/>
      <c r="N13" s="2"/>
      <c r="O13" s="16"/>
      <c r="P13" s="16"/>
      <c r="Q13" s="2"/>
      <c r="R13" s="2"/>
      <c r="S13" s="2"/>
      <c r="T13" s="2"/>
      <c r="U13" s="2"/>
      <c r="V13" s="2"/>
      <c r="W13" s="2"/>
      <c r="X13" s="2"/>
    </row>
    <row r="14" spans="1:24" ht="15" hidden="1">
      <c r="A14" s="38"/>
      <c r="B14" s="38"/>
      <c r="C14" s="38"/>
      <c r="D14" s="2"/>
      <c r="E14" s="2"/>
      <c r="F14" s="16"/>
      <c r="G14" s="16"/>
      <c r="H14" s="2"/>
      <c r="I14" s="2"/>
      <c r="J14" s="2"/>
      <c r="K14" s="2"/>
      <c r="L14" s="2"/>
      <c r="M14" s="2"/>
      <c r="N14" s="2"/>
      <c r="O14" s="16"/>
      <c r="P14" s="16"/>
      <c r="Q14" s="2"/>
      <c r="R14" s="2"/>
      <c r="S14" s="2"/>
      <c r="T14" s="2"/>
      <c r="U14" s="2"/>
      <c r="V14" s="2"/>
      <c r="W14" s="2"/>
      <c r="X14" s="2"/>
    </row>
    <row r="15" spans="1:24" ht="15" hidden="1">
      <c r="A15" s="38"/>
      <c r="B15" s="38"/>
      <c r="C15" s="38"/>
      <c r="D15" s="2"/>
      <c r="E15" s="2"/>
      <c r="F15" s="16"/>
      <c r="G15" s="16"/>
      <c r="H15" s="2"/>
      <c r="I15" s="2"/>
      <c r="J15" s="2"/>
      <c r="K15" s="2"/>
      <c r="L15" s="2"/>
      <c r="M15" s="2"/>
      <c r="N15" s="2"/>
      <c r="O15" s="16"/>
      <c r="P15" s="16"/>
      <c r="Q15" s="2"/>
      <c r="R15" s="2"/>
      <c r="S15" s="2"/>
      <c r="T15" s="2"/>
      <c r="U15" s="2"/>
      <c r="V15" s="2"/>
      <c r="W15" s="2"/>
      <c r="X15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21"/>
  <sheetViews>
    <sheetView showGridLines="0" zoomScale="75" zoomScaleNormal="75" workbookViewId="0">
      <pane xSplit="8" ySplit="7" topLeftCell="I8" activePane="bottomRight" state="frozen"/>
      <selection activeCell="A20" sqref="A20"/>
      <selection pane="topRight" activeCell="A20" sqref="A20"/>
      <selection pane="bottomLeft" activeCell="A20" sqref="A20"/>
      <selection pane="bottomRight" activeCell="P10" sqref="P10"/>
    </sheetView>
  </sheetViews>
  <sheetFormatPr defaultColWidth="0" defaultRowHeight="0" customHeight="1" zeroHeight="1"/>
  <cols>
    <col min="1" max="3" width="2.7109375" style="10" customWidth="1"/>
    <col min="4" max="4" width="9.7109375" style="10" customWidth="1"/>
    <col min="5" max="5" width="49.28515625" style="10" customWidth="1"/>
    <col min="6" max="6" width="15.85546875" style="40" customWidth="1"/>
    <col min="7" max="8" width="2.7109375" style="10" customWidth="1"/>
    <col min="9" max="21" width="9.7109375" style="10" customWidth="1"/>
    <col min="22" max="22" width="15.85546875" style="10" customWidth="1"/>
    <col min="23" max="16384" width="9.140625" style="10" hidden="1"/>
  </cols>
  <sheetData>
    <row r="1" spans="1:24" ht="33.75">
      <c r="A1" s="1"/>
      <c r="B1" s="1"/>
      <c r="C1" s="1"/>
      <c r="D1" s="28" t="s">
        <v>211</v>
      </c>
      <c r="E1" s="28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6"/>
      <c r="X1" s="16"/>
    </row>
    <row r="2" spans="1:24" ht="15">
      <c r="A2" s="2"/>
      <c r="B2" s="2"/>
      <c r="C2" s="2"/>
      <c r="D2" s="2"/>
      <c r="E2" s="2"/>
      <c r="G2" s="16"/>
      <c r="H2" s="2"/>
      <c r="I2" s="2"/>
      <c r="J2" s="2"/>
      <c r="K2" s="2"/>
      <c r="L2" s="2"/>
      <c r="M2" s="16"/>
      <c r="N2" s="16"/>
      <c r="O2" s="2"/>
      <c r="P2" s="2"/>
      <c r="Q2" s="2"/>
      <c r="R2" s="2"/>
      <c r="S2" s="2"/>
      <c r="T2" s="2"/>
      <c r="U2" s="2"/>
      <c r="V2" s="16"/>
      <c r="W2" s="16"/>
      <c r="X2" s="16"/>
    </row>
    <row r="3" spans="1:24" ht="12.75">
      <c r="A3" s="16"/>
      <c r="B3" s="16"/>
      <c r="C3" s="16"/>
      <c r="D3" s="16"/>
      <c r="E3" s="16" t="s">
        <v>57</v>
      </c>
      <c r="G3" s="16"/>
      <c r="H3" s="16"/>
      <c r="I3" s="4" t="str">
        <f t="shared" ref="I3:U3" si="0">AMP.Years</f>
        <v>2012-13</v>
      </c>
      <c r="J3" s="4" t="str">
        <f t="shared" si="0"/>
        <v>2013-14</v>
      </c>
      <c r="K3" s="4" t="str">
        <f t="shared" si="0"/>
        <v>2014-15</v>
      </c>
      <c r="L3" s="5" t="str">
        <f t="shared" si="0"/>
        <v>2015-16</v>
      </c>
      <c r="M3" s="5" t="str">
        <f t="shared" si="0"/>
        <v>2016-17</v>
      </c>
      <c r="N3" s="5" t="str">
        <f t="shared" si="0"/>
        <v>2017-18</v>
      </c>
      <c r="O3" s="5" t="str">
        <f t="shared" si="0"/>
        <v>2018-19</v>
      </c>
      <c r="P3" s="5" t="str">
        <f t="shared" si="0"/>
        <v>2019-20</v>
      </c>
      <c r="Q3" s="4" t="str">
        <f t="shared" si="0"/>
        <v>2020-21</v>
      </c>
      <c r="R3" s="4" t="str">
        <f t="shared" si="0"/>
        <v>2021-22</v>
      </c>
      <c r="S3" s="4" t="str">
        <f t="shared" si="0"/>
        <v>2022-23</v>
      </c>
      <c r="T3" s="4" t="str">
        <f t="shared" si="0"/>
        <v>2023-24</v>
      </c>
      <c r="U3" s="4" t="str">
        <f t="shared" si="0"/>
        <v>2024-25</v>
      </c>
      <c r="V3" s="13"/>
      <c r="W3" s="16"/>
      <c r="X3" s="16"/>
    </row>
    <row r="4" spans="1:24" ht="12.75">
      <c r="A4" s="16"/>
      <c r="B4" s="16"/>
      <c r="C4" s="16"/>
      <c r="D4" s="16"/>
      <c r="E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3"/>
      <c r="W4" s="16"/>
      <c r="X4" s="16"/>
    </row>
    <row r="5" spans="1:24" ht="12.75">
      <c r="A5" s="16"/>
      <c r="B5" s="16"/>
      <c r="C5" s="16"/>
      <c r="D5" s="16"/>
      <c r="E5" s="16" t="s">
        <v>58</v>
      </c>
      <c r="G5" s="16"/>
      <c r="H5" s="16"/>
      <c r="I5" s="146">
        <f t="shared" ref="I5:U5" si="1">Calendar.Years</f>
        <v>2012</v>
      </c>
      <c r="J5" s="146">
        <f t="shared" si="1"/>
        <v>2013</v>
      </c>
      <c r="K5" s="146">
        <f t="shared" si="1"/>
        <v>2014</v>
      </c>
      <c r="L5" s="146">
        <f t="shared" si="1"/>
        <v>2015</v>
      </c>
      <c r="M5" s="146">
        <f t="shared" si="1"/>
        <v>2016</v>
      </c>
      <c r="N5" s="146">
        <f t="shared" si="1"/>
        <v>2017</v>
      </c>
      <c r="O5" s="146">
        <f t="shared" si="1"/>
        <v>2018</v>
      </c>
      <c r="P5" s="146">
        <f t="shared" si="1"/>
        <v>2019</v>
      </c>
      <c r="Q5" s="146">
        <f t="shared" si="1"/>
        <v>2020</v>
      </c>
      <c r="R5" s="146">
        <f t="shared" si="1"/>
        <v>2021</v>
      </c>
      <c r="S5" s="146">
        <f t="shared" si="1"/>
        <v>2022</v>
      </c>
      <c r="T5" s="146">
        <f t="shared" si="1"/>
        <v>2023</v>
      </c>
      <c r="U5" s="146">
        <f t="shared" si="1"/>
        <v>2024</v>
      </c>
      <c r="V5" s="13"/>
      <c r="W5" s="16"/>
      <c r="X5" s="16"/>
    </row>
    <row r="6" spans="1:24" ht="12.75">
      <c r="A6" s="16"/>
      <c r="B6" s="16"/>
      <c r="C6" s="16"/>
      <c r="D6" s="16"/>
      <c r="E6" s="16" t="s">
        <v>59</v>
      </c>
      <c r="G6" s="16"/>
      <c r="H6" s="16"/>
      <c r="I6" s="16"/>
      <c r="J6" s="16"/>
      <c r="K6" s="6"/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6</v>
      </c>
      <c r="R6" s="133">
        <v>7</v>
      </c>
      <c r="S6" s="133">
        <v>8</v>
      </c>
      <c r="T6" s="133">
        <v>9</v>
      </c>
      <c r="U6" s="133">
        <v>10</v>
      </c>
      <c r="V6" s="16"/>
      <c r="W6" s="16"/>
      <c r="X6" s="16"/>
    </row>
    <row r="7" spans="1:24" ht="12.75">
      <c r="A7" s="16"/>
      <c r="B7" s="16"/>
      <c r="C7" s="16"/>
      <c r="D7" s="16"/>
      <c r="E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s="7" customFormat="1" ht="15">
      <c r="A8" s="134"/>
      <c r="B8" s="8"/>
      <c r="C8" s="8"/>
      <c r="D8" s="138"/>
      <c r="E8" s="135" t="s">
        <v>212</v>
      </c>
      <c r="F8" s="136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7"/>
      <c r="W8" s="27"/>
      <c r="X8" s="27"/>
    </row>
    <row r="9" spans="1:24" ht="12.75">
      <c r="A9" s="16"/>
      <c r="B9" s="16"/>
      <c r="C9" s="16"/>
      <c r="D9" s="16"/>
      <c r="E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2.75">
      <c r="A10" s="16"/>
      <c r="B10" s="16"/>
      <c r="C10" s="16"/>
      <c r="D10" s="17" t="s">
        <v>81</v>
      </c>
      <c r="E10" s="35" t="s">
        <v>213</v>
      </c>
      <c r="F10" s="40" t="s">
        <v>96</v>
      </c>
      <c r="G10" s="16"/>
      <c r="H10" s="16"/>
      <c r="I10" s="16"/>
      <c r="J10" s="16"/>
      <c r="K10" s="16"/>
      <c r="L10" s="26"/>
      <c r="M10" s="26"/>
      <c r="N10" s="26"/>
      <c r="O10" s="26"/>
      <c r="P10" s="31">
        <f>WRFIM.Water</f>
        <v>10.090682625209638</v>
      </c>
      <c r="Q10" s="16"/>
      <c r="R10" s="16"/>
      <c r="S10" s="16"/>
      <c r="T10" s="16"/>
      <c r="U10" s="16"/>
      <c r="V10" s="16"/>
      <c r="W10" s="16"/>
      <c r="X10" s="16"/>
    </row>
    <row r="11" spans="1:24" ht="12.75">
      <c r="A11" s="16"/>
      <c r="B11" s="16"/>
      <c r="C11" s="16"/>
      <c r="D11" s="16"/>
      <c r="E11" s="16"/>
      <c r="G11" s="16"/>
      <c r="H11" s="16"/>
      <c r="I11" s="16"/>
      <c r="J11" s="16"/>
      <c r="K11" s="16"/>
      <c r="L11" s="16"/>
      <c r="M11" s="16"/>
      <c r="N11" s="16"/>
      <c r="O11" s="16"/>
      <c r="P11" s="31"/>
      <c r="Q11" s="16"/>
      <c r="R11" s="16"/>
      <c r="S11" s="16"/>
      <c r="T11" s="16"/>
      <c r="U11" s="16"/>
      <c r="V11" s="16"/>
      <c r="W11" s="16"/>
      <c r="X11" s="16"/>
    </row>
    <row r="12" spans="1:24" ht="12.75">
      <c r="A12" s="16"/>
      <c r="B12" s="16"/>
      <c r="C12" s="16"/>
      <c r="D12" s="17" t="s">
        <v>81</v>
      </c>
      <c r="E12" s="35" t="s">
        <v>214</v>
      </c>
      <c r="F12" s="40" t="s">
        <v>96</v>
      </c>
      <c r="G12" s="16"/>
      <c r="H12" s="16"/>
      <c r="I12" s="16"/>
      <c r="J12" s="16"/>
      <c r="K12" s="16"/>
      <c r="L12" s="26"/>
      <c r="M12" s="26"/>
      <c r="N12" s="26"/>
      <c r="O12" s="26"/>
      <c r="P12" s="31">
        <f>WRFIM.Waste</f>
        <v>0</v>
      </c>
      <c r="Q12" s="16"/>
      <c r="R12" s="16"/>
      <c r="S12" s="16"/>
      <c r="T12" s="16"/>
      <c r="U12" s="16"/>
      <c r="V12" s="16"/>
      <c r="W12" s="16"/>
      <c r="X12" s="16"/>
    </row>
    <row r="13" spans="1:24" ht="13.5" thickBot="1">
      <c r="A13" s="16"/>
      <c r="B13" s="16"/>
      <c r="C13" s="16"/>
      <c r="D13" s="16"/>
      <c r="E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3.5" thickBot="1">
      <c r="A14" s="11" t="s">
        <v>111</v>
      </c>
      <c r="B14" s="12"/>
      <c r="C14" s="12"/>
      <c r="D14" s="12"/>
      <c r="E14" s="12"/>
      <c r="F14" s="4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6"/>
      <c r="X14" s="16"/>
    </row>
    <row r="15" spans="1:24" ht="12.75">
      <c r="A15" s="16"/>
      <c r="B15" s="16"/>
      <c r="C15" s="16"/>
      <c r="D15" s="16"/>
      <c r="E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2.75" hidden="1" customHeight="1">
      <c r="A16" s="16"/>
      <c r="B16" s="16"/>
      <c r="C16" s="16"/>
      <c r="D16" s="16"/>
      <c r="E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</sheetData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ff529c-908b-4c2b-8991-8fdf97f11bac">
      <UserInfo>
        <DisplayName>Laura Masters</DisplayName>
        <AccountId>118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0F774345790458DB4A4367E18833A" ma:contentTypeVersion="8" ma:contentTypeDescription="Create a new document." ma:contentTypeScope="" ma:versionID="ce2c24823c11b02fb9283b89a0fb182e">
  <xsd:schema xmlns:xsd="http://www.w3.org/2001/XMLSchema" xmlns:xs="http://www.w3.org/2001/XMLSchema" xmlns:p="http://schemas.microsoft.com/office/2006/metadata/properties" xmlns:ns2="75218f79-9bff-4f49-be04-bc4180e445a3" xmlns:ns3="20ff529c-908b-4c2b-8991-8fdf97f11bac" targetNamespace="http://schemas.microsoft.com/office/2006/metadata/properties" ma:root="true" ma:fieldsID="112b8cdb312d893e9d22caac68e8b4ae" ns2:_="" ns3:_="">
    <xsd:import namespace="75218f79-9bff-4f49-be04-bc4180e445a3"/>
    <xsd:import namespace="20ff529c-908b-4c2b-8991-8fdf97f11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18f79-9bff-4f49-be04-bc4180e44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f529c-908b-4c2b-8991-8fdf97f11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A3EA6-99A4-43E6-95FD-2245F23146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B82369-497D-47D8-9312-ADC65EA94878}">
  <ds:schemaRefs>
    <ds:schemaRef ds:uri="http://schemas.microsoft.com/office/2006/documentManagement/types"/>
    <ds:schemaRef ds:uri="http://schemas.openxmlformats.org/package/2006/metadata/core-properties"/>
    <ds:schemaRef ds:uri="0b4831ca-6eec-4dae-b51d-28994cbaee87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41809c14-5742-440e-99e4-75a2810ab6b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7CBD38-563C-4B68-B10D-AA63F5250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42</vt:i4>
      </vt:variant>
    </vt:vector>
  </HeadingPairs>
  <TitlesOfParts>
    <vt:vector size="53" baseType="lpstr">
      <vt:lpstr>Change Log</vt:lpstr>
      <vt:lpstr>Inputs &gt;</vt:lpstr>
      <vt:lpstr>Data</vt:lpstr>
      <vt:lpstr>RPI</vt:lpstr>
      <vt:lpstr>Calcs &gt;</vt:lpstr>
      <vt:lpstr>WRFIM - Water</vt:lpstr>
      <vt:lpstr>WRFIM - Waste</vt:lpstr>
      <vt:lpstr>Output &gt;</vt:lpstr>
      <vt:lpstr>WFRIM adjustments</vt:lpstr>
      <vt:lpstr>Other &gt;</vt:lpstr>
      <vt:lpstr>Timeline</vt:lpstr>
      <vt:lpstr>Additional.Analysis</vt:lpstr>
      <vt:lpstr>Adj.AllRev.Waste</vt:lpstr>
      <vt:lpstr>Adj.AllRev.Water</vt:lpstr>
      <vt:lpstr>AllRev.Outturn.Waste</vt:lpstr>
      <vt:lpstr>AllRev.Outturn.Water</vt:lpstr>
      <vt:lpstr>AllRev.Waste</vt:lpstr>
      <vt:lpstr>AllRev.Water</vt:lpstr>
      <vt:lpstr>AMP.Years</vt:lpstr>
      <vt:lpstr>AMP5.RCM.Adj.Waste</vt:lpstr>
      <vt:lpstr>AMP5.RCM.Adj.Water</vt:lpstr>
      <vt:lpstr>AMP6.FI.Adj.Waste</vt:lpstr>
      <vt:lpstr>AMP6.FI.Adj.Water</vt:lpstr>
      <vt:lpstr>Baseline.AllRev.Waste</vt:lpstr>
      <vt:lpstr>Baseline.AllRev.Water</vt:lpstr>
      <vt:lpstr>BlindYear.1415.Adj.Waste</vt:lpstr>
      <vt:lpstr>BlindYear.1415.Adj.Water</vt:lpstr>
      <vt:lpstr>Calendar.Years</vt:lpstr>
      <vt:lpstr>Discount.Rate</vt:lpstr>
      <vt:lpstr>Indexation.Average</vt:lpstr>
      <vt:lpstr>Indexation.Average.Override</vt:lpstr>
      <vt:lpstr>Indexation.Check</vt:lpstr>
      <vt:lpstr>Indexation.November</vt:lpstr>
      <vt:lpstr>Indexation.November.Actual</vt:lpstr>
      <vt:lpstr>Indexation.November.Actual.Override</vt:lpstr>
      <vt:lpstr>Indexation.November.Actual.YearOnYear</vt:lpstr>
      <vt:lpstr>Indexation.November.Override</vt:lpstr>
      <vt:lpstr>Inflation.Yearly.Average</vt:lpstr>
      <vt:lpstr>K.Waste</vt:lpstr>
      <vt:lpstr>K.Water</vt:lpstr>
      <vt:lpstr>Penalty.Rate.General</vt:lpstr>
      <vt:lpstr>Perc.Recovered.Waste</vt:lpstr>
      <vt:lpstr>Perc.Recovered.Water</vt:lpstr>
      <vt:lpstr>Data!Print_Area</vt:lpstr>
      <vt:lpstr>RPI!Print_Area</vt:lpstr>
      <vt:lpstr>RCM.BlindYear.Adj.Waste</vt:lpstr>
      <vt:lpstr>RCM.BlindYear.Adj.Water</vt:lpstr>
      <vt:lpstr>RecRev.Waste</vt:lpstr>
      <vt:lpstr>RecRev.Water</vt:lpstr>
      <vt:lpstr>Threshold.Max</vt:lpstr>
      <vt:lpstr>Threshold.Min</vt:lpstr>
      <vt:lpstr>WRFIM.Waste</vt:lpstr>
      <vt:lpstr>WRFIM.Water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Crane</dc:creator>
  <cp:keywords/>
  <dc:description/>
  <cp:lastModifiedBy>Hall, Martin</cp:lastModifiedBy>
  <cp:revision/>
  <cp:lastPrinted>2019-08-13T09:00:51Z</cp:lastPrinted>
  <dcterms:created xsi:type="dcterms:W3CDTF">2015-02-03T17:19:53Z</dcterms:created>
  <dcterms:modified xsi:type="dcterms:W3CDTF">2019-08-13T11:14:33Z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0x0101004DB0F774345790458DB4A4367E18833A</vt:lpwstr>
  </property>
  <property fmtid="{D5CDD505-2E9C-101B-9397-08002B2CF9AE}" pid="3" name="da4e9ae56afa494a84f353054bd212ec">
    <vt:lpwstr>OFFICIAL|c2540f30-f875-494b-a43f-ebfb5017a6ad</vt:lpwstr>
  </property>
  <property fmtid="{D5CDD505-2E9C-101B-9397-08002B2CF9AE}" pid="4" name="TaxCatchAll">
    <vt:lpwstr>151;#Risk and Reward|c78d1602-226e-4dfc-b981-a8a88923ba74;#21;#OFFICIAL|c2540f30-f875-494b-a43f-ebfb5017a6ad</vt:lpwstr>
  </property>
  <property fmtid="{D5CDD505-2E9C-101B-9397-08002B2CF9AE}" pid="5" name="Security Classification">
    <vt:lpwstr>21;#OFFICIAL|c2540f30-f875-494b-a43f-ebfb5017a6ad</vt:lpwstr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Meeting">
    <vt:lpwstr/>
  </property>
  <property fmtid="{D5CDD505-2E9C-101B-9397-08002B2CF9AE}" pid="10" name="Stakeholder 4">
    <vt:lpwstr/>
  </property>
  <property fmtid="{D5CDD505-2E9C-101B-9397-08002B2CF9AE}" pid="11" name="Project Code">
    <vt:lpwstr>151;#Risk and Reward|c78d1602-226e-4dfc-b981-a8a88923ba74</vt:lpwstr>
  </property>
  <property fmtid="{D5CDD505-2E9C-101B-9397-08002B2CF9AE}" pid="12" name="Stakeholder 3">
    <vt:lpwstr/>
  </property>
  <property fmtid="{D5CDD505-2E9C-101B-9397-08002B2CF9AE}" pid="13" name="Stakeholder 2">
    <vt:lpwstr/>
  </property>
  <property fmtid="{D5CDD505-2E9C-101B-9397-08002B2CF9AE}" pid="14" name="Stakeholder">
    <vt:lpwstr/>
  </property>
  <property fmtid="{D5CDD505-2E9C-101B-9397-08002B2CF9AE}" pid="15" name="SharedWithUsers">
    <vt:lpwstr>118;#Laura Masters</vt:lpwstr>
  </property>
  <property fmtid="{D5CDD505-2E9C-101B-9397-08002B2CF9AE}" pid="16" name="b128efbe498d4e38a73555a2e7be12ea">
    <vt:lpwstr/>
  </property>
  <property fmtid="{D5CDD505-2E9C-101B-9397-08002B2CF9AE}" pid="17" name="m279c8e365374608a4eb2bb657f838c2">
    <vt:lpwstr/>
  </property>
  <property fmtid="{D5CDD505-2E9C-101B-9397-08002B2CF9AE}" pid="18" name="j014a7bd3fd34d828fc493e84f684b49">
    <vt:lpwstr/>
  </property>
  <property fmtid="{D5CDD505-2E9C-101B-9397-08002B2CF9AE}" pid="19" name="b2faa34e97554b63aaaf45270201a270">
    <vt:lpwstr/>
  </property>
  <property fmtid="{D5CDD505-2E9C-101B-9397-08002B2CF9AE}" pid="20" name="b20f10deb29d4945907115b7b62c5b70">
    <vt:lpwstr/>
  </property>
  <property fmtid="{D5CDD505-2E9C-101B-9397-08002B2CF9AE}" pid="21" name="j7c77f2a1a924badb0d621542422dc19">
    <vt:lpwstr/>
  </property>
  <property fmtid="{D5CDD505-2E9C-101B-9397-08002B2CF9AE}" pid="22" name="oe9d4f963f4c420b8d2b35d038476850">
    <vt:lpwstr>Risk and Reward|c78d1602-226e-4dfc-b981-a8a88923ba74</vt:lpwstr>
  </property>
  <property fmtid="{D5CDD505-2E9C-101B-9397-08002B2CF9AE}" pid="23" name="a9250910d34f4f6d82af870f608babb6">
    <vt:lpwstr/>
  </property>
  <property fmtid="{D5CDD505-2E9C-101B-9397-08002B2CF9AE}" pid="24" name="f8aa492165544285b4c7fe9d1b6ad82c">
    <vt:lpwstr/>
  </property>
  <property fmtid="{D5CDD505-2E9C-101B-9397-08002B2CF9AE}" pid="25" name="AuthorIds_UIVersion_1536">
    <vt:lpwstr>218</vt:lpwstr>
  </property>
</Properties>
</file>