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10"/>
  <workbookPr showInkAnnotation="0" codeName="ThisWorkbook"/>
  <mc:AlternateContent xmlns:mc="http://schemas.openxmlformats.org/markup-compatibility/2006">
    <mc:Choice Requires="x15">
      <x15ac:absPath xmlns:x15ac="http://schemas.microsoft.com/office/spreadsheetml/2010/11/ac" url="https://affinitywaterltd-my.sharepoint.com/personal/martin_hall_affinitywater_co_uk/Documents/31 Aug 2019 Submission/"/>
    </mc:Choice>
  </mc:AlternateContent>
  <xr:revisionPtr revIDLastSave="0" documentId="11_32CEAB5AE3DA16764CD85AB1B33064A73BF9CB64" xr6:coauthVersionLast="44" xr6:coauthVersionMax="44" xr10:uidLastSave="{00000000-0000-0000-0000-000000000000}"/>
  <bookViews>
    <workbookView xWindow="0" yWindow="0" windowWidth="20520" windowHeight="7245" tabRatio="678" firstSheet="7" activeTab="7" xr2:uid="{00000000-000D-0000-FFFF-FFFF00000000}"/>
  </bookViews>
  <sheets>
    <sheet name="QA_Checklist" sheetId="148" r:id="rId1"/>
    <sheet name="CLEAR_SHEET" sheetId="150" state="hidden" r:id="rId2"/>
    <sheet name="F_Inputs" sheetId="146" r:id="rId3"/>
    <sheet name="F_Outputs" sheetId="147" r:id="rId4"/>
    <sheet name="Cover" sheetId="144" r:id="rId5"/>
    <sheet name="Change Log" sheetId="145" r:id="rId6"/>
    <sheet name="Map &amp; Key" sheetId="115" r:id="rId7"/>
    <sheet name="Inputs" sheetId="139" r:id="rId8"/>
    <sheet name="Time" sheetId="17" r:id="rId9"/>
    <sheet name="Indexation" sheetId="141" r:id="rId10"/>
    <sheet name="Calc" sheetId="66" r:id="rId11"/>
    <sheet name="Profiling" sheetId="143" r:id="rId12"/>
    <sheet name="FM Proportion Calc" sheetId="151" r:id="rId13"/>
    <sheet name="Summary_Output" sheetId="140" r:id="rId14"/>
    <sheet name="Checks" sheetId="153" r:id="rId15"/>
  </sheets>
  <definedNames>
    <definedName name="_xlnm.Print_Area" localSheetId="13">Summary_Output!$A$1:$V$100</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44" l="1"/>
  <c r="G2" i="139"/>
  <c r="G2" i="17"/>
  <c r="G2" i="141"/>
  <c r="G2" i="66"/>
  <c r="G2" i="143"/>
  <c r="G2" i="151"/>
  <c r="G2" i="153"/>
  <c r="G2" i="140"/>
  <c r="E20" i="153"/>
  <c r="G20" i="153"/>
  <c r="E19" i="153"/>
  <c r="G19" i="153"/>
  <c r="E18" i="153"/>
  <c r="G18" i="153"/>
  <c r="E17" i="153"/>
  <c r="G17" i="153"/>
  <c r="E16" i="153"/>
  <c r="G16" i="153"/>
  <c r="E5" i="153"/>
  <c r="E4" i="153"/>
  <c r="E3" i="153"/>
  <c r="E2" i="153"/>
  <c r="A1" i="153"/>
  <c r="R17" i="151"/>
  <c r="I100" i="140"/>
  <c r="G100" i="140"/>
  <c r="F100" i="140"/>
  <c r="I99" i="140"/>
  <c r="G99" i="140"/>
  <c r="F99" i="140"/>
  <c r="I98" i="140"/>
  <c r="G98" i="140"/>
  <c r="F98" i="140"/>
  <c r="I97" i="140"/>
  <c r="G97" i="140"/>
  <c r="F97" i="140"/>
  <c r="I96" i="140"/>
  <c r="G96" i="140"/>
  <c r="F96" i="140"/>
  <c r="I95" i="140"/>
  <c r="G95" i="140"/>
  <c r="F95" i="140"/>
  <c r="I94" i="140"/>
  <c r="G94" i="140"/>
  <c r="F94" i="140"/>
  <c r="I93" i="140"/>
  <c r="G93" i="140"/>
  <c r="F93" i="140"/>
  <c r="I92" i="140"/>
  <c r="G92" i="140"/>
  <c r="F92" i="140"/>
  <c r="I91" i="140"/>
  <c r="G91" i="140"/>
  <c r="F91" i="140"/>
  <c r="I90" i="140"/>
  <c r="G90" i="140"/>
  <c r="F90" i="140"/>
  <c r="I89" i="140"/>
  <c r="G89" i="140"/>
  <c r="F89" i="140"/>
  <c r="I88" i="140"/>
  <c r="G88" i="140"/>
  <c r="F88" i="140"/>
  <c r="I87" i="140"/>
  <c r="G87" i="140"/>
  <c r="F87" i="140"/>
  <c r="I86" i="140"/>
  <c r="G86" i="140"/>
  <c r="F86" i="140"/>
  <c r="I85" i="140"/>
  <c r="G85" i="140"/>
  <c r="F85" i="140"/>
  <c r="I84" i="140"/>
  <c r="G84" i="140"/>
  <c r="F84" i="140"/>
  <c r="I83" i="140"/>
  <c r="G83" i="140"/>
  <c r="F83" i="140"/>
  <c r="E100" i="140"/>
  <c r="E99" i="140"/>
  <c r="E98" i="140"/>
  <c r="E97" i="140"/>
  <c r="E96" i="140"/>
  <c r="E95" i="140"/>
  <c r="E94" i="140"/>
  <c r="E93" i="140"/>
  <c r="E92" i="140"/>
  <c r="E91" i="140"/>
  <c r="E90" i="140"/>
  <c r="E89" i="140"/>
  <c r="E88" i="140"/>
  <c r="E87" i="140"/>
  <c r="E86" i="140"/>
  <c r="E85" i="140"/>
  <c r="E84" i="140"/>
  <c r="E83" i="140"/>
  <c r="I135" i="151"/>
  <c r="G135" i="151"/>
  <c r="F135" i="151"/>
  <c r="I134" i="151"/>
  <c r="G134" i="151"/>
  <c r="F134" i="151"/>
  <c r="E135" i="151"/>
  <c r="E134" i="151"/>
  <c r="V120" i="151"/>
  <c r="U120" i="151"/>
  <c r="T120" i="151"/>
  <c r="S120" i="151"/>
  <c r="R120" i="151"/>
  <c r="Q120" i="151"/>
  <c r="P120" i="151"/>
  <c r="O120" i="151"/>
  <c r="N120" i="151"/>
  <c r="M120" i="151"/>
  <c r="L120" i="151"/>
  <c r="K120" i="151"/>
  <c r="J120" i="151"/>
  <c r="I120" i="151"/>
  <c r="H120" i="151"/>
  <c r="G120" i="151"/>
  <c r="V119" i="151"/>
  <c r="U119" i="151"/>
  <c r="T119" i="151"/>
  <c r="S119" i="151"/>
  <c r="R119" i="151"/>
  <c r="Q119" i="151"/>
  <c r="P119" i="151"/>
  <c r="O119" i="151"/>
  <c r="N119" i="151"/>
  <c r="M119" i="151"/>
  <c r="L119" i="151"/>
  <c r="K119" i="151"/>
  <c r="J119" i="151"/>
  <c r="I119" i="151"/>
  <c r="H119" i="151"/>
  <c r="G119" i="151"/>
  <c r="E120" i="151"/>
  <c r="E119" i="151"/>
  <c r="I116" i="151"/>
  <c r="I128" i="151"/>
  <c r="G116" i="151"/>
  <c r="G128" i="151"/>
  <c r="F116" i="151"/>
  <c r="F128" i="151"/>
  <c r="V115" i="151"/>
  <c r="U115" i="151"/>
  <c r="T115" i="151"/>
  <c r="S115" i="151"/>
  <c r="R115" i="151"/>
  <c r="Q115" i="151"/>
  <c r="P115" i="151"/>
  <c r="O115" i="151"/>
  <c r="N115" i="151"/>
  <c r="M115" i="151"/>
  <c r="L115" i="151"/>
  <c r="K115" i="151"/>
  <c r="J115" i="151"/>
  <c r="I115" i="151"/>
  <c r="H115" i="151"/>
  <c r="G115" i="151"/>
  <c r="E116" i="151"/>
  <c r="E115" i="151"/>
  <c r="V100" i="151"/>
  <c r="U100" i="151"/>
  <c r="T100" i="151"/>
  <c r="S100" i="151"/>
  <c r="R100" i="151"/>
  <c r="Q100" i="151"/>
  <c r="P100" i="151"/>
  <c r="O100" i="151"/>
  <c r="N100" i="151"/>
  <c r="M100" i="151"/>
  <c r="L100" i="151"/>
  <c r="K100" i="151"/>
  <c r="J100" i="151"/>
  <c r="I100" i="151"/>
  <c r="H100" i="151"/>
  <c r="G100" i="151"/>
  <c r="V99" i="151"/>
  <c r="U99" i="151"/>
  <c r="T99" i="151"/>
  <c r="S99" i="151"/>
  <c r="R99" i="151"/>
  <c r="Q99" i="151"/>
  <c r="P99" i="151"/>
  <c r="O99" i="151"/>
  <c r="N99" i="151"/>
  <c r="M99" i="151"/>
  <c r="L99" i="151"/>
  <c r="K99" i="151"/>
  <c r="J99" i="151"/>
  <c r="I99" i="151"/>
  <c r="H99" i="151"/>
  <c r="G99" i="151"/>
  <c r="E100" i="151"/>
  <c r="E99" i="151"/>
  <c r="I96" i="151"/>
  <c r="I108" i="151"/>
  <c r="G96" i="151"/>
  <c r="G108" i="151"/>
  <c r="F96" i="151"/>
  <c r="V95" i="151"/>
  <c r="U95" i="151"/>
  <c r="T95" i="151"/>
  <c r="S95" i="151"/>
  <c r="R95" i="151"/>
  <c r="Q95" i="151"/>
  <c r="P95" i="151"/>
  <c r="O95" i="151"/>
  <c r="N95" i="151"/>
  <c r="M95" i="151"/>
  <c r="L95" i="151"/>
  <c r="K95" i="151"/>
  <c r="J95" i="151"/>
  <c r="I95" i="151"/>
  <c r="H95" i="151"/>
  <c r="G95" i="151"/>
  <c r="E96" i="151"/>
  <c r="E95" i="151"/>
  <c r="V77" i="151"/>
  <c r="U77" i="151"/>
  <c r="T77" i="151"/>
  <c r="S77" i="151"/>
  <c r="R77" i="151"/>
  <c r="Q77" i="151"/>
  <c r="P77" i="151"/>
  <c r="O77" i="151"/>
  <c r="N77" i="151"/>
  <c r="M77" i="151"/>
  <c r="L77" i="151"/>
  <c r="K77" i="151"/>
  <c r="J77" i="151"/>
  <c r="I77" i="151"/>
  <c r="H77" i="151"/>
  <c r="G77" i="151"/>
  <c r="V76" i="151"/>
  <c r="U76" i="151"/>
  <c r="T76" i="151"/>
  <c r="S76" i="151"/>
  <c r="R76" i="151"/>
  <c r="Q76" i="151"/>
  <c r="P76" i="151"/>
  <c r="O76" i="151"/>
  <c r="N76" i="151"/>
  <c r="M76" i="151"/>
  <c r="L76" i="151"/>
  <c r="K76" i="151"/>
  <c r="J76" i="151"/>
  <c r="I76" i="151"/>
  <c r="H76" i="151"/>
  <c r="G76" i="151"/>
  <c r="V75" i="151"/>
  <c r="U75" i="151"/>
  <c r="T75" i="151"/>
  <c r="S75" i="151"/>
  <c r="R75" i="151"/>
  <c r="Q75" i="151"/>
  <c r="P75" i="151"/>
  <c r="O75" i="151"/>
  <c r="N75" i="151"/>
  <c r="M75" i="151"/>
  <c r="L75" i="151"/>
  <c r="K75" i="151"/>
  <c r="J75" i="151"/>
  <c r="I75" i="151"/>
  <c r="H75" i="151"/>
  <c r="G75" i="151"/>
  <c r="V74" i="151"/>
  <c r="U74" i="151"/>
  <c r="T74" i="151"/>
  <c r="S74" i="151"/>
  <c r="R74" i="151"/>
  <c r="Q74" i="151"/>
  <c r="P74" i="151"/>
  <c r="O74" i="151"/>
  <c r="N74" i="151"/>
  <c r="M74" i="151"/>
  <c r="L74" i="151"/>
  <c r="K74" i="151"/>
  <c r="J74" i="151"/>
  <c r="I74" i="151"/>
  <c r="H74" i="151"/>
  <c r="G74" i="151"/>
  <c r="V73" i="151"/>
  <c r="U73" i="151"/>
  <c r="T73" i="151"/>
  <c r="S73" i="151"/>
  <c r="R73" i="151"/>
  <c r="Q73" i="151"/>
  <c r="P73" i="151"/>
  <c r="O73" i="151"/>
  <c r="N73" i="151"/>
  <c r="M73" i="151"/>
  <c r="L73" i="151"/>
  <c r="K73" i="151"/>
  <c r="J73" i="151"/>
  <c r="I73" i="151"/>
  <c r="H73" i="151"/>
  <c r="G73" i="151"/>
  <c r="E77" i="151"/>
  <c r="E76" i="151"/>
  <c r="E75" i="151"/>
  <c r="E74" i="151"/>
  <c r="E73" i="151"/>
  <c r="I70" i="151"/>
  <c r="G70" i="151"/>
  <c r="G88" i="151"/>
  <c r="F70" i="151"/>
  <c r="F88" i="151"/>
  <c r="V69" i="151"/>
  <c r="U69" i="151"/>
  <c r="T69" i="151"/>
  <c r="S69" i="151"/>
  <c r="R69" i="151"/>
  <c r="Q69" i="151"/>
  <c r="P69" i="151"/>
  <c r="O69" i="151"/>
  <c r="N69" i="151"/>
  <c r="M69" i="151"/>
  <c r="L69" i="151"/>
  <c r="K69" i="151"/>
  <c r="J69" i="151"/>
  <c r="I69" i="151"/>
  <c r="H69" i="151"/>
  <c r="G69" i="151"/>
  <c r="E70" i="151"/>
  <c r="E88" i="151"/>
  <c r="E69" i="151"/>
  <c r="K9" i="151"/>
  <c r="F62" i="151"/>
  <c r="U45" i="151"/>
  <c r="V48" i="151"/>
  <c r="U48" i="151"/>
  <c r="T48" i="151"/>
  <c r="S48" i="151"/>
  <c r="R48" i="151"/>
  <c r="Q48" i="151"/>
  <c r="P48" i="151"/>
  <c r="O48" i="151"/>
  <c r="N48" i="151"/>
  <c r="M48" i="151"/>
  <c r="L48" i="151"/>
  <c r="K48" i="151"/>
  <c r="J48" i="151"/>
  <c r="I48" i="151"/>
  <c r="H48" i="151"/>
  <c r="G48" i="151"/>
  <c r="V47" i="151"/>
  <c r="U47" i="151"/>
  <c r="T47" i="151"/>
  <c r="S47" i="151"/>
  <c r="R47" i="151"/>
  <c r="Q47" i="151"/>
  <c r="P47" i="151"/>
  <c r="O47" i="151"/>
  <c r="N47" i="151"/>
  <c r="M47" i="151"/>
  <c r="L47" i="151"/>
  <c r="K47" i="151"/>
  <c r="J47" i="151"/>
  <c r="I47" i="151"/>
  <c r="H47" i="151"/>
  <c r="G47" i="151"/>
  <c r="V46" i="151"/>
  <c r="U46" i="151"/>
  <c r="T46" i="151"/>
  <c r="S46" i="151"/>
  <c r="R46" i="151"/>
  <c r="Q46" i="151"/>
  <c r="P46" i="151"/>
  <c r="O46" i="151"/>
  <c r="N46" i="151"/>
  <c r="M46" i="151"/>
  <c r="L46" i="151"/>
  <c r="K46" i="151"/>
  <c r="J46" i="151"/>
  <c r="I46" i="151"/>
  <c r="H46" i="151"/>
  <c r="G46" i="151"/>
  <c r="V45" i="151"/>
  <c r="T45" i="151"/>
  <c r="S45" i="151"/>
  <c r="R45" i="151"/>
  <c r="Q45" i="151"/>
  <c r="P45" i="151"/>
  <c r="O45" i="151"/>
  <c r="N45" i="151"/>
  <c r="M45" i="151"/>
  <c r="L45" i="151"/>
  <c r="K45" i="151"/>
  <c r="J45" i="151"/>
  <c r="I45" i="151"/>
  <c r="H45" i="151"/>
  <c r="G45" i="151"/>
  <c r="V44" i="151"/>
  <c r="U44" i="151"/>
  <c r="T44" i="151"/>
  <c r="S44" i="151"/>
  <c r="R44" i="151"/>
  <c r="Q44" i="151"/>
  <c r="P44" i="151"/>
  <c r="O44" i="151"/>
  <c r="N44" i="151"/>
  <c r="M44" i="151"/>
  <c r="L44" i="151"/>
  <c r="K44" i="151"/>
  <c r="J44" i="151"/>
  <c r="I44" i="151"/>
  <c r="H44" i="151"/>
  <c r="G44" i="151"/>
  <c r="E48" i="151"/>
  <c r="E47" i="151"/>
  <c r="E46" i="151"/>
  <c r="E45" i="151"/>
  <c r="E44" i="151"/>
  <c r="V41" i="151"/>
  <c r="U41" i="151"/>
  <c r="T41" i="151"/>
  <c r="S41" i="151"/>
  <c r="R41" i="151"/>
  <c r="Q41" i="151"/>
  <c r="P41" i="151"/>
  <c r="O41" i="151"/>
  <c r="N41" i="151"/>
  <c r="M41" i="151"/>
  <c r="L41" i="151"/>
  <c r="K41" i="151"/>
  <c r="J41" i="151"/>
  <c r="I41" i="151"/>
  <c r="H41" i="151"/>
  <c r="G41" i="151"/>
  <c r="V40" i="151"/>
  <c r="U40" i="151"/>
  <c r="U42" i="151" s="1"/>
  <c r="U49" i="151" s="1"/>
  <c r="T40" i="151"/>
  <c r="T42" i="151"/>
  <c r="T49" i="151" s="1"/>
  <c r="S40" i="151"/>
  <c r="S42" i="151" s="1"/>
  <c r="S49" i="151" s="1"/>
  <c r="R40" i="151"/>
  <c r="R42" i="151"/>
  <c r="R49" i="151" s="1"/>
  <c r="Q40" i="151"/>
  <c r="Q42" i="151" s="1"/>
  <c r="Q49" i="151" s="1"/>
  <c r="P40" i="151"/>
  <c r="P42" i="151"/>
  <c r="P49" i="151" s="1"/>
  <c r="O40" i="151"/>
  <c r="O42" i="151" s="1"/>
  <c r="O49" i="151" s="1"/>
  <c r="N40" i="151"/>
  <c r="N42" i="151"/>
  <c r="N49" i="151" s="1"/>
  <c r="M40" i="151"/>
  <c r="M42" i="151" s="1"/>
  <c r="M49" i="151" s="1"/>
  <c r="L40" i="151"/>
  <c r="L42" i="151"/>
  <c r="L49" i="151" s="1"/>
  <c r="K40" i="151"/>
  <c r="K42" i="151" s="1"/>
  <c r="J40" i="151"/>
  <c r="J42" i="151"/>
  <c r="J49" i="151" s="1"/>
  <c r="I40" i="151"/>
  <c r="H40" i="151"/>
  <c r="G40" i="151"/>
  <c r="E41" i="151"/>
  <c r="E40" i="151"/>
  <c r="I37" i="151"/>
  <c r="I61" i="151"/>
  <c r="G37" i="151"/>
  <c r="G61" i="151"/>
  <c r="F37" i="151"/>
  <c r="F61" i="151"/>
  <c r="V36" i="151"/>
  <c r="U36" i="151"/>
  <c r="T36" i="151"/>
  <c r="S36" i="151"/>
  <c r="R36" i="151"/>
  <c r="Q36" i="151"/>
  <c r="P36" i="151"/>
  <c r="O36" i="151"/>
  <c r="N36" i="151"/>
  <c r="M36" i="151"/>
  <c r="L36" i="151"/>
  <c r="K36" i="151"/>
  <c r="J36" i="151"/>
  <c r="I36" i="151"/>
  <c r="H36" i="151"/>
  <c r="G36" i="151"/>
  <c r="E37" i="151"/>
  <c r="E61" i="151"/>
  <c r="E36" i="151"/>
  <c r="I49" i="151"/>
  <c r="G49" i="151"/>
  <c r="E49" i="151"/>
  <c r="I19" i="151"/>
  <c r="G19" i="151"/>
  <c r="E19" i="151"/>
  <c r="V14" i="151"/>
  <c r="U14" i="151"/>
  <c r="T14" i="151"/>
  <c r="S14" i="151"/>
  <c r="R14" i="151"/>
  <c r="Q14" i="151"/>
  <c r="P14" i="151"/>
  <c r="O14" i="151"/>
  <c r="N14" i="151"/>
  <c r="M14" i="151"/>
  <c r="L14" i="151"/>
  <c r="K14" i="151"/>
  <c r="J14" i="151"/>
  <c r="I14" i="151"/>
  <c r="H14" i="151"/>
  <c r="G14" i="151"/>
  <c r="V13" i="151"/>
  <c r="V15" i="151"/>
  <c r="V19" i="151" s="1"/>
  <c r="U13" i="151"/>
  <c r="U15" i="151" s="1"/>
  <c r="U19" i="151" s="1"/>
  <c r="T13" i="151"/>
  <c r="S13" i="151"/>
  <c r="S15" i="151" s="1"/>
  <c r="S19" i="151" s="1"/>
  <c r="R13" i="151"/>
  <c r="R15" i="151"/>
  <c r="R19" i="151" s="1"/>
  <c r="Q13" i="151"/>
  <c r="P13" i="151"/>
  <c r="O13" i="151"/>
  <c r="O15" i="151" s="1"/>
  <c r="O19" i="151" s="1"/>
  <c r="N13" i="151"/>
  <c r="N15" i="151"/>
  <c r="N19" i="151" s="1"/>
  <c r="M13" i="151"/>
  <c r="M15" i="151" s="1"/>
  <c r="M19" i="151" s="1"/>
  <c r="L13" i="151"/>
  <c r="K13" i="151"/>
  <c r="K15" i="151" s="1"/>
  <c r="K19" i="151" s="1"/>
  <c r="J13" i="151"/>
  <c r="J15" i="151" s="1"/>
  <c r="I13" i="151"/>
  <c r="H13" i="151"/>
  <c r="G13" i="151"/>
  <c r="V18" i="151"/>
  <c r="U18" i="151"/>
  <c r="T18" i="151"/>
  <c r="S18" i="151"/>
  <c r="R18" i="151"/>
  <c r="Q18" i="151"/>
  <c r="P18" i="151"/>
  <c r="O18" i="151"/>
  <c r="N18" i="151"/>
  <c r="M18" i="151"/>
  <c r="L18" i="151"/>
  <c r="K18" i="151"/>
  <c r="J18" i="151"/>
  <c r="I18" i="151"/>
  <c r="H18" i="151"/>
  <c r="G18" i="151"/>
  <c r="V17" i="151"/>
  <c r="U17" i="151"/>
  <c r="T17" i="151"/>
  <c r="S17" i="151"/>
  <c r="Q17" i="151"/>
  <c r="P17" i="151"/>
  <c r="O17" i="151"/>
  <c r="N17" i="151"/>
  <c r="M17" i="151"/>
  <c r="L17" i="151"/>
  <c r="K17" i="151"/>
  <c r="J17" i="151"/>
  <c r="I17" i="151"/>
  <c r="H17" i="151"/>
  <c r="G17" i="151"/>
  <c r="E14" i="151"/>
  <c r="E13" i="151"/>
  <c r="E18" i="151"/>
  <c r="E17" i="151"/>
  <c r="I10" i="151"/>
  <c r="G10" i="151"/>
  <c r="G28" i="151"/>
  <c r="F10" i="151"/>
  <c r="F28" i="151"/>
  <c r="E10" i="151"/>
  <c r="E28" i="151"/>
  <c r="V9" i="151"/>
  <c r="U9" i="151"/>
  <c r="T9" i="151"/>
  <c r="S9" i="151"/>
  <c r="R9" i="151"/>
  <c r="Q9" i="151"/>
  <c r="P9" i="151"/>
  <c r="O9" i="151"/>
  <c r="N9" i="151"/>
  <c r="M9" i="151"/>
  <c r="L9" i="151"/>
  <c r="J9" i="151"/>
  <c r="I9" i="151"/>
  <c r="H9" i="151"/>
  <c r="G9" i="151"/>
  <c r="E9" i="151"/>
  <c r="E5" i="151"/>
  <c r="E4" i="151"/>
  <c r="E3" i="151"/>
  <c r="E2" i="151"/>
  <c r="A1" i="151"/>
  <c r="L48" i="115" s="1"/>
  <c r="I129" i="151"/>
  <c r="G129" i="151"/>
  <c r="F129" i="151"/>
  <c r="E129" i="151"/>
  <c r="I109" i="151"/>
  <c r="G109" i="151"/>
  <c r="F109" i="151"/>
  <c r="E109" i="151"/>
  <c r="I29" i="151"/>
  <c r="G29" i="151"/>
  <c r="F29" i="151"/>
  <c r="I28" i="151"/>
  <c r="E29" i="151"/>
  <c r="I62" i="151"/>
  <c r="G62" i="151"/>
  <c r="E62" i="151"/>
  <c r="I89" i="151"/>
  <c r="G89" i="151"/>
  <c r="F89" i="151"/>
  <c r="E89" i="151"/>
  <c r="I122" i="151"/>
  <c r="H122" i="151"/>
  <c r="G122" i="151"/>
  <c r="F122" i="151"/>
  <c r="E122" i="151"/>
  <c r="E128" i="151"/>
  <c r="I102" i="151"/>
  <c r="H102" i="151"/>
  <c r="G102" i="151"/>
  <c r="F102" i="151"/>
  <c r="E102" i="151"/>
  <c r="F108" i="151"/>
  <c r="E108" i="151"/>
  <c r="I79" i="151"/>
  <c r="H79" i="151"/>
  <c r="G79" i="151"/>
  <c r="F79" i="151"/>
  <c r="E79" i="151"/>
  <c r="I88" i="151"/>
  <c r="I51" i="151"/>
  <c r="H51" i="151"/>
  <c r="G51" i="151"/>
  <c r="F51" i="151"/>
  <c r="E51" i="151"/>
  <c r="V42" i="151"/>
  <c r="V49" i="151"/>
  <c r="I21" i="151"/>
  <c r="H21" i="151"/>
  <c r="G21" i="151"/>
  <c r="F21" i="151"/>
  <c r="E21" i="151"/>
  <c r="P15" i="151"/>
  <c r="P19" i="151" s="1"/>
  <c r="L15" i="151"/>
  <c r="L19" i="151" s="1"/>
  <c r="T15" i="151"/>
  <c r="T19" i="151" s="1"/>
  <c r="Q15" i="151"/>
  <c r="Q19" i="151" s="1"/>
  <c r="K98" i="147"/>
  <c r="J98" i="147"/>
  <c r="I98" i="147"/>
  <c r="H98" i="147"/>
  <c r="G98" i="147"/>
  <c r="F98" i="147"/>
  <c r="K97" i="147"/>
  <c r="J97" i="147"/>
  <c r="I97" i="147"/>
  <c r="H97" i="147"/>
  <c r="G97" i="147"/>
  <c r="F97" i="147"/>
  <c r="F89" i="139"/>
  <c r="F88" i="139"/>
  <c r="F109" i="139"/>
  <c r="F108" i="139"/>
  <c r="F104" i="139"/>
  <c r="F103" i="139"/>
  <c r="J53" i="139"/>
  <c r="K53" i="139"/>
  <c r="L53" i="139"/>
  <c r="M53" i="139"/>
  <c r="N53" i="139"/>
  <c r="O53" i="139"/>
  <c r="J54" i="139"/>
  <c r="K54" i="139"/>
  <c r="L54" i="139"/>
  <c r="M54" i="139"/>
  <c r="N54" i="139"/>
  <c r="O54" i="139"/>
  <c r="J55" i="139"/>
  <c r="K55" i="139"/>
  <c r="L55" i="139"/>
  <c r="M55" i="139"/>
  <c r="N55" i="139"/>
  <c r="O55" i="139"/>
  <c r="J56" i="139"/>
  <c r="K56" i="139"/>
  <c r="L56" i="139"/>
  <c r="M56" i="139"/>
  <c r="N56" i="139"/>
  <c r="O56" i="139"/>
  <c r="J57" i="139"/>
  <c r="K57" i="139"/>
  <c r="L57" i="139"/>
  <c r="M57" i="139"/>
  <c r="N57" i="139"/>
  <c r="O57" i="139"/>
  <c r="J58" i="139"/>
  <c r="K58" i="139"/>
  <c r="L58" i="139"/>
  <c r="M58" i="139"/>
  <c r="N58" i="139"/>
  <c r="O58" i="139"/>
  <c r="J59" i="139"/>
  <c r="K59" i="139"/>
  <c r="L59" i="139"/>
  <c r="M59" i="139"/>
  <c r="N59" i="139"/>
  <c r="O59" i="139"/>
  <c r="J60" i="139"/>
  <c r="K60" i="139"/>
  <c r="L60" i="139"/>
  <c r="M60" i="139"/>
  <c r="N60" i="139"/>
  <c r="O60" i="139"/>
  <c r="J61" i="139"/>
  <c r="K61" i="139"/>
  <c r="L61" i="139"/>
  <c r="M61" i="139"/>
  <c r="N61" i="139"/>
  <c r="O61" i="139"/>
  <c r="J62" i="139"/>
  <c r="K62" i="139"/>
  <c r="L62" i="139"/>
  <c r="M62" i="139"/>
  <c r="N62" i="139"/>
  <c r="O62" i="139"/>
  <c r="J63" i="139"/>
  <c r="K63" i="139"/>
  <c r="L63" i="139"/>
  <c r="M63" i="139"/>
  <c r="N63" i="139"/>
  <c r="O63" i="139"/>
  <c r="K52" i="139"/>
  <c r="L52" i="139"/>
  <c r="M52" i="139"/>
  <c r="N52" i="139"/>
  <c r="O52" i="139"/>
  <c r="J52" i="139"/>
  <c r="J36" i="139"/>
  <c r="K36" i="139"/>
  <c r="L36" i="139"/>
  <c r="M36" i="139"/>
  <c r="N36" i="139"/>
  <c r="O36" i="139"/>
  <c r="J37" i="139"/>
  <c r="K37" i="139"/>
  <c r="L37" i="139"/>
  <c r="M37" i="139"/>
  <c r="N37" i="139"/>
  <c r="O37" i="139"/>
  <c r="J38" i="139"/>
  <c r="K38" i="139"/>
  <c r="L38" i="139"/>
  <c r="M38" i="139"/>
  <c r="N38" i="139"/>
  <c r="O38" i="139"/>
  <c r="J39" i="139"/>
  <c r="K39" i="139"/>
  <c r="L39" i="139"/>
  <c r="M39" i="139"/>
  <c r="N39" i="139"/>
  <c r="O39" i="139"/>
  <c r="J40" i="139"/>
  <c r="K40" i="139"/>
  <c r="L40" i="139"/>
  <c r="M40" i="139"/>
  <c r="N40" i="139"/>
  <c r="O40" i="139"/>
  <c r="J41" i="139"/>
  <c r="K41" i="139"/>
  <c r="L41" i="139"/>
  <c r="M41" i="139"/>
  <c r="N41" i="139"/>
  <c r="O41" i="139"/>
  <c r="J42" i="139"/>
  <c r="K42" i="139"/>
  <c r="L42" i="139"/>
  <c r="M42" i="139"/>
  <c r="N42" i="139"/>
  <c r="O42" i="139"/>
  <c r="J43" i="139"/>
  <c r="K43" i="139"/>
  <c r="L43" i="139"/>
  <c r="M43" i="139"/>
  <c r="N43" i="139"/>
  <c r="O43" i="139"/>
  <c r="J44" i="139"/>
  <c r="K44" i="139"/>
  <c r="L44" i="139"/>
  <c r="M44" i="139"/>
  <c r="N44" i="139"/>
  <c r="O44" i="139"/>
  <c r="J45" i="139"/>
  <c r="K45" i="139"/>
  <c r="L45" i="139"/>
  <c r="M45" i="139"/>
  <c r="N45" i="139"/>
  <c r="O45" i="139"/>
  <c r="J46" i="139"/>
  <c r="K46" i="139"/>
  <c r="L46" i="139"/>
  <c r="M46" i="139"/>
  <c r="N46" i="139"/>
  <c r="O46" i="139"/>
  <c r="K35" i="139"/>
  <c r="L35" i="139"/>
  <c r="M35" i="139"/>
  <c r="N35" i="139"/>
  <c r="O35" i="139"/>
  <c r="J35" i="139"/>
  <c r="F97" i="139"/>
  <c r="F96" i="139"/>
  <c r="A215" i="143"/>
  <c r="A214" i="143"/>
  <c r="A213" i="143"/>
  <c r="A212" i="143"/>
  <c r="A211" i="143"/>
  <c r="A210" i="143"/>
  <c r="A209" i="143"/>
  <c r="A169" i="143"/>
  <c r="A167" i="143"/>
  <c r="A166" i="143"/>
  <c r="A165" i="143"/>
  <c r="A164" i="143"/>
  <c r="A163" i="143"/>
  <c r="A162" i="143"/>
  <c r="A161" i="143"/>
  <c r="A159" i="143"/>
  <c r="A158" i="143"/>
  <c r="A157" i="143"/>
  <c r="A156" i="143"/>
  <c r="A155" i="143"/>
  <c r="A154" i="143"/>
  <c r="A153" i="143"/>
  <c r="A108" i="143"/>
  <c r="A107" i="143"/>
  <c r="A106" i="143"/>
  <c r="A105" i="143"/>
  <c r="A104" i="143"/>
  <c r="A103" i="143"/>
  <c r="A102" i="143"/>
  <c r="A83" i="143"/>
  <c r="A82" i="143"/>
  <c r="A81" i="143"/>
  <c r="A80" i="143"/>
  <c r="A79" i="143"/>
  <c r="A78" i="143"/>
  <c r="A77" i="143"/>
  <c r="A57" i="143"/>
  <c r="A19" i="143"/>
  <c r="A23" i="143"/>
  <c r="A21" i="143"/>
  <c r="A20" i="143"/>
  <c r="A18" i="143"/>
  <c r="A17" i="143"/>
  <c r="A16" i="143"/>
  <c r="A15" i="143"/>
  <c r="A12" i="143"/>
  <c r="A11" i="143"/>
  <c r="A10" i="143"/>
  <c r="A9" i="143"/>
  <c r="A149" i="66"/>
  <c r="A148" i="66"/>
  <c r="A147" i="66"/>
  <c r="A146" i="66"/>
  <c r="A145" i="66"/>
  <c r="A144" i="66"/>
  <c r="A143" i="66"/>
  <c r="A142" i="66"/>
  <c r="A141" i="66"/>
  <c r="A140" i="66"/>
  <c r="A139" i="66"/>
  <c r="A138" i="66"/>
  <c r="A137" i="66"/>
  <c r="A136" i="66"/>
  <c r="A135" i="66"/>
  <c r="A134" i="66"/>
  <c r="A133" i="66"/>
  <c r="A132" i="66"/>
  <c r="A131" i="66"/>
  <c r="A130" i="66"/>
  <c r="A129" i="66"/>
  <c r="A128" i="66"/>
  <c r="A127" i="66"/>
  <c r="A126" i="66"/>
  <c r="A125" i="66"/>
  <c r="A124" i="66"/>
  <c r="A78" i="140"/>
  <c r="A77" i="140"/>
  <c r="A76" i="140"/>
  <c r="A75" i="140"/>
  <c r="A74" i="140"/>
  <c r="A73" i="140"/>
  <c r="A72" i="140"/>
  <c r="A67" i="140"/>
  <c r="A66" i="140"/>
  <c r="A65" i="140"/>
  <c r="A64" i="140"/>
  <c r="A63" i="140"/>
  <c r="A62" i="140"/>
  <c r="A61" i="140"/>
  <c r="A10" i="140"/>
  <c r="A191" i="66"/>
  <c r="A202" i="66"/>
  <c r="A23" i="140"/>
  <c r="A19" i="140"/>
  <c r="A226" i="66"/>
  <c r="A192" i="66"/>
  <c r="A15" i="140"/>
  <c r="A206" i="66"/>
  <c r="A11" i="140"/>
  <c r="A227" i="66"/>
  <c r="A26" i="140"/>
  <c r="A186" i="66"/>
  <c r="A35" i="140"/>
  <c r="A193" i="66"/>
  <c r="A22" i="140"/>
  <c r="A197" i="66"/>
  <c r="A29" i="140"/>
  <c r="A208" i="66"/>
  <c r="A17" i="140"/>
  <c r="A214" i="66"/>
  <c r="A47" i="140"/>
  <c r="A221" i="66"/>
  <c r="A53" i="140"/>
  <c r="A184" i="66"/>
  <c r="A14" i="140"/>
  <c r="A36" i="140"/>
  <c r="A195" i="66"/>
  <c r="A207" i="66"/>
  <c r="A44" i="140"/>
  <c r="A219" i="66"/>
  <c r="A18" i="140"/>
  <c r="A185" i="66"/>
  <c r="A21" i="140"/>
  <c r="A196" i="66"/>
  <c r="A38" i="140"/>
  <c r="A210" i="66"/>
  <c r="A41" i="140"/>
  <c r="A220" i="66"/>
  <c r="A25" i="140"/>
  <c r="A187" i="66"/>
  <c r="A37" i="140"/>
  <c r="A194" i="66"/>
  <c r="A32" i="140"/>
  <c r="A201" i="66"/>
  <c r="A16" i="140"/>
  <c r="A24" i="140"/>
  <c r="A209" i="66"/>
  <c r="A215" i="66"/>
  <c r="A50" i="140"/>
  <c r="A222" i="66"/>
  <c r="A56" i="140"/>
  <c r="F38" i="147"/>
  <c r="F37" i="147"/>
  <c r="F36" i="147"/>
  <c r="F35" i="147"/>
  <c r="F34" i="147"/>
  <c r="F33" i="147"/>
  <c r="F32" i="147"/>
  <c r="F31" i="147"/>
  <c r="F30" i="147"/>
  <c r="F29" i="147"/>
  <c r="F28" i="147"/>
  <c r="F27" i="147"/>
  <c r="F26" i="147"/>
  <c r="F25" i="147"/>
  <c r="F24" i="147"/>
  <c r="F23" i="147"/>
  <c r="F127" i="139"/>
  <c r="F126" i="139"/>
  <c r="F120" i="139"/>
  <c r="F119" i="139"/>
  <c r="A127" i="139"/>
  <c r="A114" i="66"/>
  <c r="A126" i="139"/>
  <c r="A113" i="66"/>
  <c r="A122" i="139"/>
  <c r="A99" i="66"/>
  <c r="A121" i="139"/>
  <c r="A98" i="66"/>
  <c r="A120" i="139"/>
  <c r="A97" i="66"/>
  <c r="A119" i="139"/>
  <c r="A96" i="66"/>
  <c r="F115" i="139"/>
  <c r="F114" i="139"/>
  <c r="A115" i="139"/>
  <c r="A87" i="66"/>
  <c r="A114" i="139"/>
  <c r="A81" i="66"/>
  <c r="F111" i="139"/>
  <c r="F110" i="139"/>
  <c r="A111" i="139"/>
  <c r="A75" i="66"/>
  <c r="A110" i="139"/>
  <c r="A66" i="66"/>
  <c r="A109" i="139"/>
  <c r="A65" i="66"/>
  <c r="A108" i="139"/>
  <c r="A64" i="66"/>
  <c r="F107" i="139"/>
  <c r="A107" i="139"/>
  <c r="A63" i="66"/>
  <c r="A104" i="139"/>
  <c r="A55" i="66"/>
  <c r="A103" i="139"/>
  <c r="A54" i="66"/>
  <c r="A98" i="139"/>
  <c r="A41" i="66"/>
  <c r="A97" i="139"/>
  <c r="A40" i="66"/>
  <c r="A96" i="139"/>
  <c r="A39" i="66"/>
  <c r="A95" i="139"/>
  <c r="A30" i="66"/>
  <c r="A94" i="139"/>
  <c r="A29" i="66"/>
  <c r="A93" i="139"/>
  <c r="A28" i="66"/>
  <c r="F93" i="139"/>
  <c r="A92" i="139"/>
  <c r="A27" i="66"/>
  <c r="A89" i="139"/>
  <c r="A19" i="66"/>
  <c r="A88" i="139"/>
  <c r="A18" i="66"/>
  <c r="A87" i="139"/>
  <c r="A11" i="66"/>
  <c r="A86" i="139"/>
  <c r="F86" i="139"/>
  <c r="A5" i="139"/>
  <c r="F15" i="153"/>
  <c r="A10" i="66"/>
  <c r="F22" i="147"/>
  <c r="F21" i="147"/>
  <c r="F20" i="147"/>
  <c r="F19" i="147"/>
  <c r="F18" i="147"/>
  <c r="F17" i="147"/>
  <c r="F16" i="147"/>
  <c r="F15" i="147"/>
  <c r="F14" i="147"/>
  <c r="F13" i="147"/>
  <c r="F11" i="147"/>
  <c r="F10" i="147"/>
  <c r="F9" i="147"/>
  <c r="F8" i="147"/>
  <c r="F7" i="147"/>
  <c r="F5" i="147"/>
  <c r="F6" i="147"/>
  <c r="F4" i="147"/>
  <c r="D50" i="148"/>
  <c r="D49" i="148"/>
  <c r="E12" i="148"/>
  <c r="G87" i="66"/>
  <c r="F87" i="66"/>
  <c r="G50" i="140"/>
  <c r="E50" i="140"/>
  <c r="G215" i="66"/>
  <c r="E215" i="66"/>
  <c r="G143" i="66"/>
  <c r="E143" i="66"/>
  <c r="E87" i="66"/>
  <c r="G88" i="66"/>
  <c r="E76" i="140"/>
  <c r="F76" i="140"/>
  <c r="G76" i="140"/>
  <c r="I76" i="140"/>
  <c r="E186" i="143"/>
  <c r="E237" i="143"/>
  <c r="F186" i="143"/>
  <c r="F237" i="143"/>
  <c r="G186" i="143"/>
  <c r="G237" i="143"/>
  <c r="I186" i="143"/>
  <c r="I237" i="143"/>
  <c r="E221" i="143"/>
  <c r="F221" i="143"/>
  <c r="G221" i="143"/>
  <c r="I221" i="143"/>
  <c r="E213" i="143"/>
  <c r="F213" i="143"/>
  <c r="G213" i="143"/>
  <c r="E194" i="143"/>
  <c r="F194" i="143"/>
  <c r="G194" i="143"/>
  <c r="I194" i="143"/>
  <c r="G165" i="143"/>
  <c r="F165" i="143"/>
  <c r="E165" i="143"/>
  <c r="G157" i="143"/>
  <c r="E157" i="143"/>
  <c r="E140" i="143"/>
  <c r="F140" i="143"/>
  <c r="G140" i="143"/>
  <c r="I140" i="143"/>
  <c r="I132" i="143"/>
  <c r="I229" i="143"/>
  <c r="G132" i="143"/>
  <c r="G229" i="143"/>
  <c r="F132" i="143"/>
  <c r="F229" i="143"/>
  <c r="E132" i="143"/>
  <c r="E229" i="143"/>
  <c r="G114" i="143"/>
  <c r="E114" i="143"/>
  <c r="G106" i="143"/>
  <c r="E106" i="143"/>
  <c r="E89" i="143"/>
  <c r="F89" i="143"/>
  <c r="G89" i="143"/>
  <c r="H89" i="143"/>
  <c r="I89" i="143"/>
  <c r="G81" i="143"/>
  <c r="E81" i="143"/>
  <c r="E65" i="143"/>
  <c r="F65" i="143"/>
  <c r="G65" i="143"/>
  <c r="I65" i="143"/>
  <c r="E40" i="143"/>
  <c r="F40" i="143"/>
  <c r="G40" i="143"/>
  <c r="I40" i="143"/>
  <c r="G19" i="143"/>
  <c r="F19" i="143"/>
  <c r="E19" i="143"/>
  <c r="G65" i="140"/>
  <c r="E65" i="140"/>
  <c r="G214" i="66"/>
  <c r="E214" i="66"/>
  <c r="G47" i="140"/>
  <c r="E47" i="140"/>
  <c r="G142" i="66"/>
  <c r="G83" i="66"/>
  <c r="G81" i="66"/>
  <c r="F81" i="66"/>
  <c r="E81" i="66"/>
  <c r="E85" i="66"/>
  <c r="E142" i="66" s="1"/>
  <c r="I223" i="143"/>
  <c r="G223" i="143"/>
  <c r="F223" i="143"/>
  <c r="E223" i="143"/>
  <c r="G44" i="140"/>
  <c r="E44" i="140"/>
  <c r="G207" i="66"/>
  <c r="E207" i="66"/>
  <c r="G140" i="66"/>
  <c r="G26" i="140"/>
  <c r="G19" i="140"/>
  <c r="G56" i="140"/>
  <c r="G53" i="140"/>
  <c r="G25" i="140"/>
  <c r="G18" i="140"/>
  <c r="G41" i="140"/>
  <c r="G24" i="140"/>
  <c r="G17" i="140"/>
  <c r="G11" i="140"/>
  <c r="G23" i="140"/>
  <c r="G16" i="140"/>
  <c r="G29" i="140"/>
  <c r="G38" i="140"/>
  <c r="G36" i="140"/>
  <c r="G32" i="140"/>
  <c r="G22" i="140"/>
  <c r="G15" i="140"/>
  <c r="G10" i="140"/>
  <c r="G37" i="140"/>
  <c r="G35" i="140"/>
  <c r="G21" i="140"/>
  <c r="G14" i="140"/>
  <c r="E26" i="140"/>
  <c r="E19" i="140"/>
  <c r="E56" i="140"/>
  <c r="E53" i="140"/>
  <c r="E25" i="140"/>
  <c r="E18" i="140"/>
  <c r="E41" i="140"/>
  <c r="E24" i="140"/>
  <c r="E17" i="140"/>
  <c r="E11" i="140"/>
  <c r="E23" i="140"/>
  <c r="E16" i="140"/>
  <c r="E29" i="140"/>
  <c r="E38" i="140"/>
  <c r="E36" i="140"/>
  <c r="E32" i="140"/>
  <c r="E22" i="140"/>
  <c r="E15" i="140"/>
  <c r="E10" i="140"/>
  <c r="E37" i="140"/>
  <c r="E35" i="140"/>
  <c r="E21" i="140"/>
  <c r="E14" i="140"/>
  <c r="G67" i="140"/>
  <c r="G63" i="140"/>
  <c r="E67" i="140"/>
  <c r="E63" i="140"/>
  <c r="I74" i="140"/>
  <c r="G74" i="140"/>
  <c r="F74" i="140"/>
  <c r="E74" i="140"/>
  <c r="I78" i="140"/>
  <c r="G78" i="140"/>
  <c r="F78" i="140"/>
  <c r="E78" i="140"/>
  <c r="I219" i="143"/>
  <c r="G219" i="143"/>
  <c r="F219" i="143"/>
  <c r="E219" i="143"/>
  <c r="G215" i="143"/>
  <c r="F215" i="143"/>
  <c r="E215" i="143"/>
  <c r="G211" i="143"/>
  <c r="F211" i="143"/>
  <c r="E211" i="143"/>
  <c r="I196" i="143"/>
  <c r="G196" i="143"/>
  <c r="F196" i="143"/>
  <c r="E196" i="143"/>
  <c r="I192" i="143"/>
  <c r="G192" i="143"/>
  <c r="F192" i="143"/>
  <c r="E192" i="143"/>
  <c r="I188" i="143"/>
  <c r="I239" i="143"/>
  <c r="G188" i="143"/>
  <c r="G239" i="143"/>
  <c r="F188" i="143"/>
  <c r="F239" i="143"/>
  <c r="E188" i="143"/>
  <c r="E239" i="143"/>
  <c r="I184" i="143"/>
  <c r="I235" i="143"/>
  <c r="G184" i="143"/>
  <c r="G235" i="143"/>
  <c r="F184" i="143"/>
  <c r="F235" i="143"/>
  <c r="E184" i="143"/>
  <c r="E235" i="143"/>
  <c r="G167" i="143"/>
  <c r="F167" i="143"/>
  <c r="E167" i="143"/>
  <c r="G163" i="143"/>
  <c r="F163" i="143"/>
  <c r="E163" i="143"/>
  <c r="G159" i="143"/>
  <c r="G155" i="143"/>
  <c r="E159" i="143"/>
  <c r="E155" i="143"/>
  <c r="I142" i="143"/>
  <c r="G142" i="143"/>
  <c r="F142" i="143"/>
  <c r="E142" i="143"/>
  <c r="I138" i="143"/>
  <c r="G138" i="143"/>
  <c r="F138" i="143"/>
  <c r="E138" i="143"/>
  <c r="I134" i="143"/>
  <c r="I231" i="143"/>
  <c r="G134" i="143"/>
  <c r="G231" i="143"/>
  <c r="F134" i="143"/>
  <c r="F231" i="143"/>
  <c r="E134" i="143"/>
  <c r="E231" i="143"/>
  <c r="I130" i="143"/>
  <c r="I227" i="143"/>
  <c r="G130" i="143"/>
  <c r="G227" i="143"/>
  <c r="F130" i="143"/>
  <c r="F227" i="143"/>
  <c r="E130" i="143"/>
  <c r="E227" i="143"/>
  <c r="G116" i="143"/>
  <c r="E116" i="143"/>
  <c r="G112" i="143"/>
  <c r="E112" i="143"/>
  <c r="G108" i="143"/>
  <c r="G104" i="143"/>
  <c r="E108" i="143"/>
  <c r="E104" i="143"/>
  <c r="I91" i="143"/>
  <c r="H91" i="143"/>
  <c r="G91" i="143"/>
  <c r="F91" i="143"/>
  <c r="I87" i="143"/>
  <c r="H87" i="143"/>
  <c r="G87" i="143"/>
  <c r="F87" i="143"/>
  <c r="E91" i="143"/>
  <c r="E87" i="143"/>
  <c r="G83" i="143"/>
  <c r="G79" i="143"/>
  <c r="E83" i="143"/>
  <c r="E79" i="143"/>
  <c r="I67" i="143"/>
  <c r="G67" i="143"/>
  <c r="F67" i="143"/>
  <c r="I63" i="143"/>
  <c r="G63" i="143"/>
  <c r="F63" i="143"/>
  <c r="E67" i="143"/>
  <c r="E63" i="143"/>
  <c r="I42" i="143"/>
  <c r="G42" i="143"/>
  <c r="F42" i="143"/>
  <c r="I38" i="143"/>
  <c r="G38" i="143"/>
  <c r="F38" i="143"/>
  <c r="E42" i="143"/>
  <c r="E38" i="143"/>
  <c r="G21" i="143"/>
  <c r="F21" i="143"/>
  <c r="G17" i="143"/>
  <c r="F17" i="143"/>
  <c r="E21" i="143"/>
  <c r="E17" i="143"/>
  <c r="G222" i="66"/>
  <c r="G221" i="66"/>
  <c r="G220" i="66"/>
  <c r="G219" i="66"/>
  <c r="E227" i="66"/>
  <c r="E226" i="66"/>
  <c r="E222" i="66"/>
  <c r="E221" i="66"/>
  <c r="E220" i="66"/>
  <c r="E219" i="66"/>
  <c r="G210" i="66"/>
  <c r="G209" i="66"/>
  <c r="G208" i="66"/>
  <c r="G206" i="66"/>
  <c r="E210" i="66"/>
  <c r="E209" i="66"/>
  <c r="E208" i="66"/>
  <c r="E206" i="66"/>
  <c r="G202" i="66"/>
  <c r="G201" i="66"/>
  <c r="E202" i="66"/>
  <c r="E201" i="66"/>
  <c r="G197" i="66"/>
  <c r="G196" i="66"/>
  <c r="G195" i="66"/>
  <c r="G194" i="66"/>
  <c r="G193" i="66"/>
  <c r="G192" i="66"/>
  <c r="G191" i="66"/>
  <c r="E197" i="66"/>
  <c r="E196" i="66"/>
  <c r="E195" i="66"/>
  <c r="E194" i="66"/>
  <c r="E193" i="66"/>
  <c r="E192" i="66"/>
  <c r="E191" i="66"/>
  <c r="G187" i="66"/>
  <c r="G186" i="66"/>
  <c r="G185" i="66"/>
  <c r="G184" i="66"/>
  <c r="E187" i="66"/>
  <c r="E186" i="66"/>
  <c r="E185" i="66"/>
  <c r="E184" i="66"/>
  <c r="E37" i="66"/>
  <c r="E131" i="66"/>
  <c r="G149" i="66"/>
  <c r="G148" i="66"/>
  <c r="G147" i="66"/>
  <c r="G146" i="66"/>
  <c r="G145" i="66"/>
  <c r="G144" i="66"/>
  <c r="G141" i="66"/>
  <c r="G139" i="66"/>
  <c r="G138" i="66"/>
  <c r="G137" i="66"/>
  <c r="G136" i="66"/>
  <c r="G135" i="66"/>
  <c r="G134" i="66"/>
  <c r="G133" i="66"/>
  <c r="G132" i="66"/>
  <c r="G131" i="66"/>
  <c r="G130" i="66"/>
  <c r="G129" i="66"/>
  <c r="G128" i="66"/>
  <c r="G127" i="66"/>
  <c r="G126" i="66"/>
  <c r="G125" i="66"/>
  <c r="G124" i="66"/>
  <c r="E141" i="66"/>
  <c r="E134" i="66"/>
  <c r="E133" i="66"/>
  <c r="E132" i="66"/>
  <c r="E127" i="66"/>
  <c r="G114" i="66"/>
  <c r="F114" i="66"/>
  <c r="G113" i="66"/>
  <c r="F113" i="66"/>
  <c r="G116" i="66"/>
  <c r="E114" i="66"/>
  <c r="E119" i="66"/>
  <c r="E149" i="66" s="1"/>
  <c r="E113" i="66"/>
  <c r="E118" i="66"/>
  <c r="E148" i="66" s="1"/>
  <c r="G101" i="66"/>
  <c r="G97" i="66"/>
  <c r="F97" i="66"/>
  <c r="G96" i="66"/>
  <c r="F96" i="66"/>
  <c r="E97" i="66"/>
  <c r="E106" i="66"/>
  <c r="E145" i="66" s="1"/>
  <c r="E96" i="66"/>
  <c r="E105" i="66"/>
  <c r="E144" i="66"/>
  <c r="G65" i="66"/>
  <c r="F65" i="66"/>
  <c r="E65" i="66"/>
  <c r="E72" i="66"/>
  <c r="E139" i="66" s="1"/>
  <c r="G55" i="66"/>
  <c r="F55" i="66"/>
  <c r="G54" i="66"/>
  <c r="F54" i="66"/>
  <c r="G57" i="66"/>
  <c r="E55" i="66"/>
  <c r="E60" i="66"/>
  <c r="E136" i="66" s="1"/>
  <c r="E54" i="66"/>
  <c r="E59" i="66"/>
  <c r="E135" i="66"/>
  <c r="G29" i="66"/>
  <c r="F29" i="66"/>
  <c r="E29" i="66"/>
  <c r="E36" i="66"/>
  <c r="E130" i="66" s="1"/>
  <c r="G11" i="66"/>
  <c r="F11" i="66"/>
  <c r="E11" i="66"/>
  <c r="E16" i="66"/>
  <c r="E125" i="66" s="1"/>
  <c r="G10" i="66"/>
  <c r="F10" i="66"/>
  <c r="E10" i="66"/>
  <c r="E15" i="66"/>
  <c r="E124" i="66"/>
  <c r="G13" i="66"/>
  <c r="G40" i="66"/>
  <c r="F40" i="66"/>
  <c r="E40" i="66"/>
  <c r="G19" i="66"/>
  <c r="F19" i="66"/>
  <c r="E19" i="66"/>
  <c r="E109" i="141"/>
  <c r="I109" i="141"/>
  <c r="H109" i="141"/>
  <c r="G109" i="141"/>
  <c r="F109" i="141"/>
  <c r="D5" i="144"/>
  <c r="A1" i="144"/>
  <c r="I195" i="143"/>
  <c r="G195" i="143"/>
  <c r="F195" i="143"/>
  <c r="E195" i="143"/>
  <c r="I193" i="143"/>
  <c r="G193" i="143"/>
  <c r="F193" i="143"/>
  <c r="E193" i="143"/>
  <c r="I191" i="143"/>
  <c r="G191" i="143"/>
  <c r="F191" i="143"/>
  <c r="E191" i="143"/>
  <c r="E141" i="143"/>
  <c r="F141" i="143"/>
  <c r="G141" i="143"/>
  <c r="I141" i="143"/>
  <c r="E139" i="143"/>
  <c r="F139" i="143"/>
  <c r="G139" i="143"/>
  <c r="I139" i="143"/>
  <c r="E137" i="143"/>
  <c r="F137" i="143"/>
  <c r="G137" i="143"/>
  <c r="I137" i="143"/>
  <c r="E90" i="143"/>
  <c r="F90" i="143"/>
  <c r="G90" i="143"/>
  <c r="H90" i="143"/>
  <c r="I90" i="143"/>
  <c r="E88" i="143"/>
  <c r="F88" i="143"/>
  <c r="G88" i="143"/>
  <c r="H88" i="143"/>
  <c r="I88" i="143"/>
  <c r="E86" i="143"/>
  <c r="F86" i="143"/>
  <c r="G86" i="143"/>
  <c r="H86" i="143"/>
  <c r="I86" i="143"/>
  <c r="E77" i="143"/>
  <c r="I66" i="143"/>
  <c r="G66" i="143"/>
  <c r="F66" i="143"/>
  <c r="E66" i="143"/>
  <c r="I64" i="143"/>
  <c r="G64" i="143"/>
  <c r="F64" i="143"/>
  <c r="E64" i="143"/>
  <c r="I62" i="143"/>
  <c r="G62" i="143"/>
  <c r="F62" i="143"/>
  <c r="E62" i="143"/>
  <c r="E115" i="143"/>
  <c r="G115" i="143"/>
  <c r="E113" i="143"/>
  <c r="G113" i="143"/>
  <c r="E111" i="143"/>
  <c r="G111" i="143"/>
  <c r="E166" i="143"/>
  <c r="F166" i="143"/>
  <c r="G166" i="143"/>
  <c r="E164" i="143"/>
  <c r="F164" i="143"/>
  <c r="G164" i="143"/>
  <c r="E162" i="143"/>
  <c r="F162" i="143"/>
  <c r="G162" i="143"/>
  <c r="E41" i="143"/>
  <c r="F41" i="143"/>
  <c r="G41" i="143"/>
  <c r="I41" i="143"/>
  <c r="E39" i="143"/>
  <c r="F39" i="143"/>
  <c r="G39" i="143"/>
  <c r="I39" i="143"/>
  <c r="E37" i="143"/>
  <c r="F37" i="143"/>
  <c r="G37" i="143"/>
  <c r="I37" i="143"/>
  <c r="E36" i="143"/>
  <c r="F36" i="143"/>
  <c r="G36" i="143"/>
  <c r="I36" i="143"/>
  <c r="E20" i="143"/>
  <c r="F20" i="143"/>
  <c r="G20" i="143"/>
  <c r="E18" i="143"/>
  <c r="F18" i="143"/>
  <c r="G18" i="143"/>
  <c r="E16" i="143"/>
  <c r="F16" i="143"/>
  <c r="G16" i="143"/>
  <c r="I172" i="143"/>
  <c r="G172" i="143"/>
  <c r="F172" i="143"/>
  <c r="E172" i="143"/>
  <c r="F128" i="143"/>
  <c r="F225" i="143"/>
  <c r="F129" i="143"/>
  <c r="F226" i="143"/>
  <c r="F131" i="143"/>
  <c r="F228" i="143"/>
  <c r="F133" i="143"/>
  <c r="F230" i="143"/>
  <c r="I133" i="143"/>
  <c r="I230" i="143"/>
  <c r="G133" i="143"/>
  <c r="G230" i="143"/>
  <c r="I131" i="143"/>
  <c r="I228" i="143"/>
  <c r="G131" i="143"/>
  <c r="G228" i="143"/>
  <c r="I129" i="143"/>
  <c r="I226" i="143"/>
  <c r="G129" i="143"/>
  <c r="G226" i="143"/>
  <c r="I128" i="143"/>
  <c r="I225" i="143"/>
  <c r="G128" i="143"/>
  <c r="G225" i="143"/>
  <c r="I118" i="143"/>
  <c r="G118" i="143"/>
  <c r="F118" i="143"/>
  <c r="E118" i="143"/>
  <c r="E75" i="66"/>
  <c r="F75" i="66"/>
  <c r="G75" i="66"/>
  <c r="G76" i="66"/>
  <c r="E12" i="143"/>
  <c r="F12" i="143"/>
  <c r="G12" i="143"/>
  <c r="I12" i="143"/>
  <c r="V57" i="141"/>
  <c r="U57" i="141"/>
  <c r="T57" i="141"/>
  <c r="S57" i="141"/>
  <c r="R57" i="141"/>
  <c r="Q57" i="141"/>
  <c r="V55" i="141"/>
  <c r="U55" i="141"/>
  <c r="T55" i="141"/>
  <c r="S55" i="141"/>
  <c r="R55" i="141"/>
  <c r="Q55" i="141"/>
  <c r="V54" i="141"/>
  <c r="U54" i="141"/>
  <c r="T54" i="141"/>
  <c r="S54" i="141"/>
  <c r="R54" i="141"/>
  <c r="Q54" i="141"/>
  <c r="V53" i="141"/>
  <c r="U53" i="141"/>
  <c r="T53" i="141"/>
  <c r="S53" i="141"/>
  <c r="R53" i="141"/>
  <c r="Q53" i="141"/>
  <c r="V52" i="141"/>
  <c r="U52" i="141"/>
  <c r="T52" i="141"/>
  <c r="S52" i="141"/>
  <c r="R52" i="141"/>
  <c r="Q52" i="141"/>
  <c r="V51" i="141"/>
  <c r="U51" i="141"/>
  <c r="T51" i="141"/>
  <c r="S51" i="141"/>
  <c r="R51" i="141"/>
  <c r="Q51" i="141"/>
  <c r="V50" i="141"/>
  <c r="U50" i="141"/>
  <c r="T50" i="141"/>
  <c r="S50" i="141"/>
  <c r="R50" i="141"/>
  <c r="Q50" i="141"/>
  <c r="V49" i="141"/>
  <c r="U49" i="141"/>
  <c r="T49" i="141"/>
  <c r="S49" i="141"/>
  <c r="R49" i="141"/>
  <c r="Q49" i="141"/>
  <c r="V48" i="141"/>
  <c r="U48" i="141"/>
  <c r="T48" i="141"/>
  <c r="S48" i="141"/>
  <c r="R48" i="141"/>
  <c r="Q48" i="141"/>
  <c r="V47" i="141"/>
  <c r="U47" i="141"/>
  <c r="T47" i="141"/>
  <c r="S47" i="141"/>
  <c r="R47" i="141"/>
  <c r="Q47" i="141"/>
  <c r="V46" i="141"/>
  <c r="U46" i="141"/>
  <c r="T46" i="141"/>
  <c r="S46" i="141"/>
  <c r="R46" i="141"/>
  <c r="Q46" i="141"/>
  <c r="V45" i="141"/>
  <c r="U45" i="141"/>
  <c r="T45" i="141"/>
  <c r="S45" i="141"/>
  <c r="R45" i="141"/>
  <c r="Q45" i="141"/>
  <c r="V44" i="141"/>
  <c r="U44" i="141"/>
  <c r="T44" i="141"/>
  <c r="S44" i="141"/>
  <c r="R44" i="141"/>
  <c r="Q44" i="141"/>
  <c r="V23" i="141"/>
  <c r="U23" i="141"/>
  <c r="T23" i="141"/>
  <c r="S23" i="141"/>
  <c r="R23" i="141"/>
  <c r="Q23" i="141"/>
  <c r="V21" i="141"/>
  <c r="U21" i="141"/>
  <c r="T21" i="141"/>
  <c r="S21" i="141"/>
  <c r="R21" i="141"/>
  <c r="Q21" i="141"/>
  <c r="V20" i="141"/>
  <c r="U20" i="141"/>
  <c r="T20" i="141"/>
  <c r="S20" i="141"/>
  <c r="R20" i="141"/>
  <c r="Q20" i="141"/>
  <c r="V19" i="141"/>
  <c r="U19" i="141"/>
  <c r="T19" i="141"/>
  <c r="S19" i="141"/>
  <c r="R19" i="141"/>
  <c r="Q19" i="141"/>
  <c r="V18" i="141"/>
  <c r="U18" i="141"/>
  <c r="T18" i="141"/>
  <c r="S18" i="141"/>
  <c r="R18" i="141"/>
  <c r="Q18" i="141"/>
  <c r="V17" i="141"/>
  <c r="U17" i="141"/>
  <c r="T17" i="141"/>
  <c r="S17" i="141"/>
  <c r="R17" i="141"/>
  <c r="Q17" i="141"/>
  <c r="V16" i="141"/>
  <c r="U16" i="141"/>
  <c r="T16" i="141"/>
  <c r="S16" i="141"/>
  <c r="R16" i="141"/>
  <c r="Q16" i="141"/>
  <c r="V15" i="141"/>
  <c r="U15" i="141"/>
  <c r="T15" i="141"/>
  <c r="S15" i="141"/>
  <c r="R15" i="141"/>
  <c r="Q15" i="141"/>
  <c r="V14" i="141"/>
  <c r="U14" i="141"/>
  <c r="T14" i="141"/>
  <c r="S14" i="141"/>
  <c r="R14" i="141"/>
  <c r="Q14" i="141"/>
  <c r="V13" i="141"/>
  <c r="U13" i="141"/>
  <c r="T13" i="141"/>
  <c r="S13" i="141"/>
  <c r="R13" i="141"/>
  <c r="Q13" i="141"/>
  <c r="V12" i="141"/>
  <c r="U12" i="141"/>
  <c r="T12" i="141"/>
  <c r="S12" i="141"/>
  <c r="R12" i="141"/>
  <c r="Q12" i="141"/>
  <c r="V11" i="141"/>
  <c r="U11" i="141"/>
  <c r="T11" i="141"/>
  <c r="S11" i="141"/>
  <c r="R11" i="141"/>
  <c r="Q11" i="141"/>
  <c r="V10" i="141"/>
  <c r="U10" i="141"/>
  <c r="T10" i="141"/>
  <c r="S10" i="141"/>
  <c r="R10" i="141"/>
  <c r="Q10" i="141"/>
  <c r="E66" i="140"/>
  <c r="G66" i="140"/>
  <c r="E64" i="140"/>
  <c r="G64" i="140"/>
  <c r="E62" i="140"/>
  <c r="G62" i="140"/>
  <c r="E61" i="140"/>
  <c r="G61" i="140"/>
  <c r="G158" i="143"/>
  <c r="E158" i="143"/>
  <c r="G156" i="143"/>
  <c r="E156" i="143"/>
  <c r="G154" i="143"/>
  <c r="E154" i="143"/>
  <c r="G153" i="143"/>
  <c r="E153" i="143"/>
  <c r="G107" i="143"/>
  <c r="E107" i="143"/>
  <c r="G105" i="143"/>
  <c r="E105" i="143"/>
  <c r="G103" i="143"/>
  <c r="E103" i="143"/>
  <c r="G102" i="143"/>
  <c r="E102" i="143"/>
  <c r="E82" i="143"/>
  <c r="G82" i="143"/>
  <c r="E80" i="143"/>
  <c r="G80" i="143"/>
  <c r="E78" i="143"/>
  <c r="G78" i="143"/>
  <c r="G77" i="143"/>
  <c r="E214" i="143"/>
  <c r="F214" i="143"/>
  <c r="G214" i="143"/>
  <c r="E212" i="143"/>
  <c r="F212" i="143"/>
  <c r="G212" i="143"/>
  <c r="E210" i="143"/>
  <c r="F210" i="143"/>
  <c r="G210" i="143"/>
  <c r="E209" i="143"/>
  <c r="F209" i="143"/>
  <c r="G209" i="143"/>
  <c r="E169" i="143"/>
  <c r="F169" i="143"/>
  <c r="G169" i="143"/>
  <c r="G161" i="143"/>
  <c r="F161" i="143"/>
  <c r="E161" i="143"/>
  <c r="E15" i="143"/>
  <c r="F15" i="143"/>
  <c r="G15" i="143"/>
  <c r="G57" i="143"/>
  <c r="F57" i="143"/>
  <c r="E57" i="143"/>
  <c r="G23" i="143"/>
  <c r="F23" i="143"/>
  <c r="E23" i="143"/>
  <c r="E9" i="143"/>
  <c r="F9" i="143"/>
  <c r="G9" i="143"/>
  <c r="E10" i="143"/>
  <c r="F10" i="143"/>
  <c r="G10" i="143"/>
  <c r="E77" i="140"/>
  <c r="F77" i="140"/>
  <c r="G77" i="140"/>
  <c r="I77" i="140"/>
  <c r="E75" i="140"/>
  <c r="F75" i="140"/>
  <c r="G75" i="140"/>
  <c r="I75" i="140"/>
  <c r="E73" i="140"/>
  <c r="F73" i="140"/>
  <c r="G73" i="140"/>
  <c r="I73" i="140"/>
  <c r="E72" i="140"/>
  <c r="F72" i="140"/>
  <c r="G72" i="140"/>
  <c r="I72" i="140"/>
  <c r="G85" i="143"/>
  <c r="H85" i="143"/>
  <c r="I85" i="143"/>
  <c r="E85" i="143"/>
  <c r="F85" i="143"/>
  <c r="G222" i="143"/>
  <c r="I222" i="143"/>
  <c r="G220" i="143"/>
  <c r="I220" i="143"/>
  <c r="G218" i="143"/>
  <c r="I218" i="143"/>
  <c r="G217" i="143"/>
  <c r="I217" i="143"/>
  <c r="E222" i="143"/>
  <c r="E220" i="143"/>
  <c r="E218" i="143"/>
  <c r="E217" i="143"/>
  <c r="G187" i="143"/>
  <c r="G238" i="143"/>
  <c r="I187" i="143"/>
  <c r="I238" i="143"/>
  <c r="G185" i="143"/>
  <c r="G236" i="143"/>
  <c r="I185" i="143"/>
  <c r="I236" i="143"/>
  <c r="G183" i="143"/>
  <c r="G234" i="143"/>
  <c r="I183" i="143"/>
  <c r="I234" i="143"/>
  <c r="G182" i="143"/>
  <c r="G233" i="143"/>
  <c r="I182" i="143"/>
  <c r="I233" i="143"/>
  <c r="E187" i="143"/>
  <c r="E238" i="143"/>
  <c r="F187" i="143"/>
  <c r="F238" i="143"/>
  <c r="E185" i="143"/>
  <c r="E236" i="143"/>
  <c r="F185" i="143"/>
  <c r="F236" i="143"/>
  <c r="E183" i="143"/>
  <c r="E234" i="143"/>
  <c r="F183" i="143"/>
  <c r="F234" i="143"/>
  <c r="E182" i="143"/>
  <c r="E233" i="143"/>
  <c r="F182" i="143"/>
  <c r="F233" i="143"/>
  <c r="G171" i="143"/>
  <c r="H171" i="143"/>
  <c r="I171" i="143"/>
  <c r="E171" i="143"/>
  <c r="F171" i="143"/>
  <c r="I190" i="143"/>
  <c r="G190" i="143"/>
  <c r="F190" i="143"/>
  <c r="E190" i="143"/>
  <c r="I136" i="143"/>
  <c r="G136" i="143"/>
  <c r="F136" i="143"/>
  <c r="E136" i="143"/>
  <c r="E133" i="143"/>
  <c r="E230" i="143"/>
  <c r="E131" i="143"/>
  <c r="E228" i="143"/>
  <c r="E129" i="143"/>
  <c r="E226" i="143"/>
  <c r="E128" i="143"/>
  <c r="E225" i="143"/>
  <c r="E110" i="143"/>
  <c r="G110" i="143"/>
  <c r="E61" i="143"/>
  <c r="F61" i="143"/>
  <c r="G61" i="143"/>
  <c r="I61" i="143"/>
  <c r="I59" i="143"/>
  <c r="H59" i="143"/>
  <c r="G59" i="143"/>
  <c r="F59" i="143"/>
  <c r="E59" i="143"/>
  <c r="I25" i="143"/>
  <c r="H25" i="143"/>
  <c r="G25" i="143"/>
  <c r="F25" i="143"/>
  <c r="E25" i="143"/>
  <c r="E26" i="143"/>
  <c r="F26" i="143"/>
  <c r="G26" i="143"/>
  <c r="H26" i="143"/>
  <c r="I26" i="143"/>
  <c r="E11" i="143"/>
  <c r="F11" i="143"/>
  <c r="G11" i="143"/>
  <c r="H11" i="143"/>
  <c r="I11" i="143"/>
  <c r="E5" i="143"/>
  <c r="E4" i="143"/>
  <c r="E3" i="143"/>
  <c r="E2" i="143"/>
  <c r="A1" i="143"/>
  <c r="L45" i="115" s="1"/>
  <c r="G151" i="66"/>
  <c r="E126" i="66"/>
  <c r="G102" i="66"/>
  <c r="E92" i="141"/>
  <c r="F92" i="141"/>
  <c r="G92" i="141"/>
  <c r="I94" i="141"/>
  <c r="H94" i="141"/>
  <c r="G94" i="141"/>
  <c r="F94" i="141"/>
  <c r="E94" i="141"/>
  <c r="G93" i="141"/>
  <c r="F93" i="141"/>
  <c r="E93" i="141"/>
  <c r="E66" i="66"/>
  <c r="E73" i="66"/>
  <c r="E140" i="66" s="1"/>
  <c r="F66" i="66"/>
  <c r="G66" i="66"/>
  <c r="E64" i="66"/>
  <c r="E71" i="66"/>
  <c r="E138" i="66"/>
  <c r="F64" i="66"/>
  <c r="G64" i="66"/>
  <c r="E63" i="66"/>
  <c r="E70" i="66"/>
  <c r="E137" i="66" s="1"/>
  <c r="F63" i="66"/>
  <c r="G63" i="66"/>
  <c r="G68" i="66"/>
  <c r="G44" i="66"/>
  <c r="E100" i="141"/>
  <c r="F100" i="141"/>
  <c r="G100" i="141"/>
  <c r="H100" i="141"/>
  <c r="I100" i="141"/>
  <c r="I101" i="141"/>
  <c r="H101" i="141"/>
  <c r="G101" i="141"/>
  <c r="F101" i="141"/>
  <c r="E101" i="141"/>
  <c r="G99" i="141"/>
  <c r="F99" i="141"/>
  <c r="E99" i="141"/>
  <c r="G98" i="141"/>
  <c r="F98" i="141"/>
  <c r="E98" i="141"/>
  <c r="E41" i="66"/>
  <c r="F41" i="66"/>
  <c r="G41" i="66"/>
  <c r="E39" i="66"/>
  <c r="F39" i="66"/>
  <c r="G39" i="66"/>
  <c r="G43" i="66"/>
  <c r="G21" i="66"/>
  <c r="E18" i="66"/>
  <c r="F18" i="66"/>
  <c r="G18" i="66"/>
  <c r="E99" i="66"/>
  <c r="E108" i="66"/>
  <c r="E147" i="66" s="1"/>
  <c r="F99" i="66"/>
  <c r="G99" i="66"/>
  <c r="E98" i="66"/>
  <c r="E107" i="66"/>
  <c r="E146" i="66"/>
  <c r="F98" i="66"/>
  <c r="G98" i="66"/>
  <c r="E30" i="66"/>
  <c r="F30" i="66"/>
  <c r="G30" i="66"/>
  <c r="E28" i="66"/>
  <c r="E35" i="66"/>
  <c r="E129" i="66"/>
  <c r="F28" i="66"/>
  <c r="G28" i="66"/>
  <c r="E27" i="66"/>
  <c r="E34" i="66"/>
  <c r="E128" i="66" s="1"/>
  <c r="F27" i="66"/>
  <c r="G27" i="66"/>
  <c r="G103" i="66"/>
  <c r="G32" i="66"/>
  <c r="P57" i="141"/>
  <c r="O57" i="141"/>
  <c r="N57" i="141"/>
  <c r="M57" i="141"/>
  <c r="L57" i="141"/>
  <c r="K57" i="141"/>
  <c r="J57" i="141"/>
  <c r="I57" i="141"/>
  <c r="H57" i="141"/>
  <c r="G57" i="141"/>
  <c r="F57" i="141"/>
  <c r="E57" i="141"/>
  <c r="J55" i="141"/>
  <c r="K55" i="141"/>
  <c r="L55" i="141"/>
  <c r="M55" i="141"/>
  <c r="N55" i="141"/>
  <c r="O55" i="141"/>
  <c r="P55" i="141"/>
  <c r="J54" i="141"/>
  <c r="K54" i="141"/>
  <c r="L54" i="141"/>
  <c r="M54" i="141"/>
  <c r="N54" i="141"/>
  <c r="O54" i="141"/>
  <c r="P54" i="141"/>
  <c r="J53" i="141"/>
  <c r="J68" i="141"/>
  <c r="K53" i="141"/>
  <c r="L53" i="141"/>
  <c r="M53" i="141"/>
  <c r="N53" i="141"/>
  <c r="O53" i="141"/>
  <c r="P53" i="141"/>
  <c r="J52" i="141"/>
  <c r="K52" i="141"/>
  <c r="L52" i="141"/>
  <c r="M52" i="141"/>
  <c r="N52" i="141"/>
  <c r="O52" i="141"/>
  <c r="P52" i="141"/>
  <c r="J51" i="141"/>
  <c r="K51" i="141"/>
  <c r="L51" i="141"/>
  <c r="M51" i="141"/>
  <c r="N51" i="141"/>
  <c r="O51" i="141"/>
  <c r="P51" i="141"/>
  <c r="J50" i="141"/>
  <c r="K50" i="141"/>
  <c r="L50" i="141"/>
  <c r="M50" i="141"/>
  <c r="N50" i="141"/>
  <c r="O50" i="141"/>
  <c r="P50" i="141"/>
  <c r="J49" i="141"/>
  <c r="J64" i="141"/>
  <c r="K49" i="141"/>
  <c r="L49" i="141"/>
  <c r="M49" i="141"/>
  <c r="N49" i="141"/>
  <c r="O49" i="141"/>
  <c r="P49" i="141"/>
  <c r="J48" i="141"/>
  <c r="K48" i="141"/>
  <c r="L48" i="141"/>
  <c r="M48" i="141"/>
  <c r="N48" i="141"/>
  <c r="O48" i="141"/>
  <c r="P48" i="141"/>
  <c r="J47" i="141"/>
  <c r="K47" i="141"/>
  <c r="L47" i="141"/>
  <c r="M47" i="141"/>
  <c r="N47" i="141"/>
  <c r="O47" i="141"/>
  <c r="P47" i="141"/>
  <c r="J46" i="141"/>
  <c r="K46" i="141"/>
  <c r="L46" i="141"/>
  <c r="M46" i="141"/>
  <c r="N46" i="141"/>
  <c r="O46" i="141"/>
  <c r="P46" i="141"/>
  <c r="J45" i="141"/>
  <c r="J60" i="141"/>
  <c r="K45" i="141"/>
  <c r="L45" i="141"/>
  <c r="M45" i="141"/>
  <c r="N45" i="141"/>
  <c r="O45" i="141"/>
  <c r="P45" i="141"/>
  <c r="J44" i="141"/>
  <c r="K44" i="141"/>
  <c r="L44" i="141"/>
  <c r="M44" i="141"/>
  <c r="N44" i="141"/>
  <c r="O44" i="141"/>
  <c r="P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G23" i="141"/>
  <c r="H23" i="141"/>
  <c r="I23" i="141"/>
  <c r="E23" i="141"/>
  <c r="F23" i="141"/>
  <c r="P21" i="141"/>
  <c r="O21" i="141"/>
  <c r="N21" i="141"/>
  <c r="M21" i="141"/>
  <c r="L21" i="141"/>
  <c r="K21" i="141"/>
  <c r="J21" i="141"/>
  <c r="I21" i="141"/>
  <c r="H21" i="141"/>
  <c r="G21" i="141"/>
  <c r="F21" i="141"/>
  <c r="P20" i="141"/>
  <c r="O20" i="141"/>
  <c r="N20" i="141"/>
  <c r="M20" i="141"/>
  <c r="L20" i="141"/>
  <c r="K20" i="141"/>
  <c r="J20" i="141"/>
  <c r="I20" i="141"/>
  <c r="H20" i="141"/>
  <c r="G20" i="141"/>
  <c r="F20" i="141"/>
  <c r="P19" i="141"/>
  <c r="O19" i="141"/>
  <c r="N19" i="141"/>
  <c r="M19" i="141"/>
  <c r="L19" i="141"/>
  <c r="K19" i="141"/>
  <c r="J19" i="141"/>
  <c r="J34" i="141"/>
  <c r="I19" i="141"/>
  <c r="H19" i="141"/>
  <c r="G19" i="141"/>
  <c r="F19" i="141"/>
  <c r="P18" i="141"/>
  <c r="O18" i="141"/>
  <c r="N18" i="141"/>
  <c r="M18" i="141"/>
  <c r="L18" i="141"/>
  <c r="K18" i="141"/>
  <c r="J18" i="141"/>
  <c r="I18" i="141"/>
  <c r="H18" i="141"/>
  <c r="G18" i="141"/>
  <c r="F18" i="141"/>
  <c r="P17" i="141"/>
  <c r="O17" i="141"/>
  <c r="N17" i="141"/>
  <c r="M17" i="141"/>
  <c r="L17" i="141"/>
  <c r="K17" i="141"/>
  <c r="J17" i="141"/>
  <c r="I17" i="141"/>
  <c r="H17" i="141"/>
  <c r="G17" i="141"/>
  <c r="F17" i="141"/>
  <c r="P16" i="141"/>
  <c r="O16" i="141"/>
  <c r="N16" i="141"/>
  <c r="M16" i="141"/>
  <c r="L16" i="141"/>
  <c r="K16" i="141"/>
  <c r="J16" i="141"/>
  <c r="I16" i="141"/>
  <c r="H16" i="141"/>
  <c r="G16" i="141"/>
  <c r="F16" i="141"/>
  <c r="P15" i="141"/>
  <c r="O15" i="141"/>
  <c r="N15" i="141"/>
  <c r="M15" i="141"/>
  <c r="L15" i="141"/>
  <c r="K15" i="141"/>
  <c r="J15" i="141"/>
  <c r="J30" i="141"/>
  <c r="I15" i="141"/>
  <c r="H15" i="141"/>
  <c r="G15" i="141"/>
  <c r="F15" i="141"/>
  <c r="P14" i="141"/>
  <c r="O14" i="141"/>
  <c r="N14" i="141"/>
  <c r="M14" i="141"/>
  <c r="L14" i="141"/>
  <c r="K14" i="141"/>
  <c r="J14" i="141"/>
  <c r="I14" i="141"/>
  <c r="H14" i="141"/>
  <c r="G14" i="141"/>
  <c r="F14" i="141"/>
  <c r="P13" i="141"/>
  <c r="O13" i="141"/>
  <c r="N13" i="141"/>
  <c r="M13" i="141"/>
  <c r="L13" i="141"/>
  <c r="K13" i="141"/>
  <c r="J13" i="141"/>
  <c r="I13" i="141"/>
  <c r="H13" i="141"/>
  <c r="G13" i="141"/>
  <c r="F13" i="141"/>
  <c r="P12" i="141"/>
  <c r="O12" i="141"/>
  <c r="N12" i="141"/>
  <c r="M12" i="141"/>
  <c r="L12" i="141"/>
  <c r="K12" i="141"/>
  <c r="J12" i="141"/>
  <c r="I12" i="141"/>
  <c r="H12" i="141"/>
  <c r="G12" i="141"/>
  <c r="F12" i="141"/>
  <c r="P11" i="141"/>
  <c r="O11" i="141"/>
  <c r="N11" i="141"/>
  <c r="M11" i="141"/>
  <c r="L11" i="141"/>
  <c r="K11" i="141"/>
  <c r="J11" i="141"/>
  <c r="J26" i="141"/>
  <c r="I11" i="141"/>
  <c r="H11" i="141"/>
  <c r="G11" i="141"/>
  <c r="F11" i="141"/>
  <c r="P10" i="141"/>
  <c r="O10" i="141"/>
  <c r="N10" i="141"/>
  <c r="M10" i="141"/>
  <c r="L10" i="141"/>
  <c r="K10" i="141"/>
  <c r="J10" i="14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8" i="141"/>
  <c r="F108" i="141"/>
  <c r="G108" i="141"/>
  <c r="E107" i="141"/>
  <c r="F107" i="141"/>
  <c r="G107" i="141"/>
  <c r="E110" i="141"/>
  <c r="F110" i="141"/>
  <c r="G110" i="141"/>
  <c r="H110" i="141"/>
  <c r="I110"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E5" i="17"/>
  <c r="E4" i="17"/>
  <c r="E3" i="17"/>
  <c r="E2" i="17"/>
  <c r="A1" i="17"/>
  <c r="L36" i="115" s="1"/>
  <c r="F28" i="139"/>
  <c r="F12" i="147"/>
  <c r="E5" i="139"/>
  <c r="E4" i="139"/>
  <c r="E3" i="139"/>
  <c r="E2" i="139"/>
  <c r="A1" i="139"/>
  <c r="H36" i="115" s="1"/>
  <c r="A1" i="115"/>
  <c r="V36" i="115" s="1"/>
  <c r="F222" i="143"/>
  <c r="F220" i="143"/>
  <c r="F218" i="143"/>
  <c r="F217" i="143"/>
  <c r="J5" i="143"/>
  <c r="J5" i="151"/>
  <c r="J28" i="141"/>
  <c r="K28" i="141"/>
  <c r="L28" i="141"/>
  <c r="M28" i="141"/>
  <c r="N28" i="141"/>
  <c r="O28" i="141"/>
  <c r="P28" i="141"/>
  <c r="Q28" i="141"/>
  <c r="R28" i="141"/>
  <c r="S28" i="141"/>
  <c r="T28" i="141"/>
  <c r="U28" i="141"/>
  <c r="V28" i="141"/>
  <c r="J32" i="141"/>
  <c r="J36" i="141"/>
  <c r="J109" i="141"/>
  <c r="J27" i="141"/>
  <c r="K27" i="141"/>
  <c r="L27" i="141"/>
  <c r="M27" i="141"/>
  <c r="N27" i="141"/>
  <c r="O27" i="141"/>
  <c r="P27" i="141"/>
  <c r="Q27" i="141"/>
  <c r="R27" i="141"/>
  <c r="S27" i="141"/>
  <c r="T27" i="141"/>
  <c r="U27" i="141"/>
  <c r="V27" i="141"/>
  <c r="J31" i="141"/>
  <c r="K31" i="141"/>
  <c r="L31" i="141"/>
  <c r="M31" i="141"/>
  <c r="N31" i="141"/>
  <c r="O31" i="141"/>
  <c r="P31" i="141"/>
  <c r="Q31" i="141"/>
  <c r="R31" i="141"/>
  <c r="S31" i="141"/>
  <c r="T31" i="141"/>
  <c r="U31" i="141"/>
  <c r="V31" i="141"/>
  <c r="J35" i="141"/>
  <c r="K35" i="141"/>
  <c r="L35" i="141"/>
  <c r="M35" i="141"/>
  <c r="N35" i="141"/>
  <c r="O35" i="141"/>
  <c r="P35" i="141"/>
  <c r="Q35" i="141"/>
  <c r="R35" i="141"/>
  <c r="S35" i="141"/>
  <c r="T35" i="141"/>
  <c r="U35" i="141"/>
  <c r="V35" i="141"/>
  <c r="J59" i="141"/>
  <c r="K59" i="141"/>
  <c r="L59" i="141"/>
  <c r="J63" i="141"/>
  <c r="K63" i="141"/>
  <c r="L63" i="141"/>
  <c r="M63" i="141"/>
  <c r="N63" i="141"/>
  <c r="O63" i="141"/>
  <c r="P63" i="141"/>
  <c r="Q63" i="141"/>
  <c r="J25" i="141"/>
  <c r="K25" i="141"/>
  <c r="L25" i="141"/>
  <c r="M25" i="141"/>
  <c r="K26" i="141"/>
  <c r="L26" i="141"/>
  <c r="M26" i="141"/>
  <c r="N26" i="141"/>
  <c r="O26" i="141"/>
  <c r="P26" i="141"/>
  <c r="Q26" i="141"/>
  <c r="J29" i="141"/>
  <c r="K29" i="141"/>
  <c r="L29" i="141"/>
  <c r="M29" i="141"/>
  <c r="N29" i="141"/>
  <c r="O29" i="141"/>
  <c r="P29" i="141"/>
  <c r="Q29" i="141"/>
  <c r="R29" i="141"/>
  <c r="S29" i="141"/>
  <c r="T29" i="141"/>
  <c r="U29" i="141"/>
  <c r="V29" i="141"/>
  <c r="K30" i="141"/>
  <c r="L30" i="141"/>
  <c r="M30" i="141"/>
  <c r="N30" i="141"/>
  <c r="O30" i="141"/>
  <c r="P30" i="141"/>
  <c r="Q30" i="141"/>
  <c r="R30" i="141"/>
  <c r="S30" i="141"/>
  <c r="T30" i="141"/>
  <c r="U30" i="141"/>
  <c r="V30" i="141"/>
  <c r="J33" i="141"/>
  <c r="K33" i="141"/>
  <c r="L33" i="141"/>
  <c r="M33" i="141"/>
  <c r="N33" i="141"/>
  <c r="O33" i="141"/>
  <c r="P33" i="141"/>
  <c r="Q33" i="141"/>
  <c r="R33" i="141"/>
  <c r="S33" i="141"/>
  <c r="T33" i="141"/>
  <c r="U33" i="141"/>
  <c r="V33" i="141"/>
  <c r="K34" i="141"/>
  <c r="L34" i="141"/>
  <c r="M34" i="141"/>
  <c r="N34" i="141"/>
  <c r="O34" i="141"/>
  <c r="K60" i="141"/>
  <c r="L60" i="141"/>
  <c r="M60" i="141"/>
  <c r="N60" i="141"/>
  <c r="O60" i="141"/>
  <c r="P60" i="141"/>
  <c r="Q60" i="141"/>
  <c r="R60" i="141"/>
  <c r="S60" i="141"/>
  <c r="T60" i="141"/>
  <c r="U60" i="141"/>
  <c r="V60" i="141"/>
  <c r="J61" i="141"/>
  <c r="K61" i="141"/>
  <c r="L61" i="141"/>
  <c r="M61" i="141"/>
  <c r="N61" i="141"/>
  <c r="O61" i="141"/>
  <c r="P61" i="141"/>
  <c r="Q61" i="141"/>
  <c r="R61" i="141"/>
  <c r="S61" i="141"/>
  <c r="T61" i="141"/>
  <c r="U61" i="141"/>
  <c r="V61" i="141"/>
  <c r="K64" i="141"/>
  <c r="L64" i="141"/>
  <c r="M64" i="141"/>
  <c r="N64" i="141"/>
  <c r="O64" i="141"/>
  <c r="P64" i="141"/>
  <c r="Q64" i="141"/>
  <c r="R64" i="141"/>
  <c r="S64" i="141"/>
  <c r="T64" i="141"/>
  <c r="U64" i="141"/>
  <c r="V64" i="141"/>
  <c r="J65" i="141"/>
  <c r="K65" i="141"/>
  <c r="L65" i="141"/>
  <c r="M65" i="141"/>
  <c r="N65" i="141"/>
  <c r="O65" i="141"/>
  <c r="P65" i="141"/>
  <c r="Q65" i="141"/>
  <c r="R65" i="141"/>
  <c r="S65" i="141"/>
  <c r="T65" i="141"/>
  <c r="U65" i="141"/>
  <c r="V65" i="141"/>
  <c r="K68" i="141"/>
  <c r="L68" i="141"/>
  <c r="M68" i="141"/>
  <c r="N68" i="141"/>
  <c r="O68" i="141"/>
  <c r="P68" i="141"/>
  <c r="Q68" i="141"/>
  <c r="R68" i="141"/>
  <c r="S68" i="141"/>
  <c r="T68" i="141"/>
  <c r="U68" i="141"/>
  <c r="V68" i="141"/>
  <c r="J69" i="141"/>
  <c r="K69" i="141"/>
  <c r="L69" i="141"/>
  <c r="M69" i="141"/>
  <c r="N69" i="141"/>
  <c r="O69" i="141"/>
  <c r="P69" i="141"/>
  <c r="Q69" i="141"/>
  <c r="R69" i="141"/>
  <c r="S69" i="141"/>
  <c r="T69" i="141"/>
  <c r="U69" i="141"/>
  <c r="V69" i="141"/>
  <c r="J67" i="141"/>
  <c r="K67" i="141"/>
  <c r="L67" i="141"/>
  <c r="M67" i="141"/>
  <c r="N67" i="141"/>
  <c r="O67" i="141"/>
  <c r="P67" i="141"/>
  <c r="Q67" i="141"/>
  <c r="R67" i="141"/>
  <c r="S67" i="141"/>
  <c r="T67" i="141"/>
  <c r="U67" i="141"/>
  <c r="V67" i="141"/>
  <c r="K32" i="141"/>
  <c r="L32" i="141"/>
  <c r="M32" i="141"/>
  <c r="N32" i="141"/>
  <c r="O32" i="141"/>
  <c r="P32" i="141"/>
  <c r="Q32" i="141"/>
  <c r="R32" i="141"/>
  <c r="S32" i="141"/>
  <c r="T32" i="141"/>
  <c r="U32" i="141"/>
  <c r="V32" i="141"/>
  <c r="J62" i="141"/>
  <c r="K62" i="141"/>
  <c r="L62" i="141"/>
  <c r="M62" i="141"/>
  <c r="N62" i="141"/>
  <c r="O62" i="141"/>
  <c r="P62" i="141"/>
  <c r="Q62" i="141"/>
  <c r="R62" i="141"/>
  <c r="S62" i="141"/>
  <c r="T62" i="141"/>
  <c r="U62" i="141"/>
  <c r="V62" i="141"/>
  <c r="J66" i="141"/>
  <c r="J100" i="141"/>
  <c r="J70" i="141"/>
  <c r="J88" i="141"/>
  <c r="E95" i="141"/>
  <c r="E102" i="66"/>
  <c r="E111" i="141"/>
  <c r="E151" i="66"/>
  <c r="B91" i="141"/>
  <c r="B97" i="141"/>
  <c r="F39" i="17"/>
  <c r="F41" i="17"/>
  <c r="B77" i="141"/>
  <c r="E102" i="141"/>
  <c r="E88" i="66"/>
  <c r="K10" i="17"/>
  <c r="J5" i="66"/>
  <c r="J5" i="141"/>
  <c r="J13" i="17"/>
  <c r="J14" i="17"/>
  <c r="J102" i="17"/>
  <c r="J103" i="17"/>
  <c r="J5" i="17"/>
  <c r="J5" i="140"/>
  <c r="J5" i="139"/>
  <c r="E82" i="141"/>
  <c r="B84" i="141"/>
  <c r="E89" i="141"/>
  <c r="J63" i="17"/>
  <c r="J64" i="17"/>
  <c r="J73" i="17"/>
  <c r="K5" i="140"/>
  <c r="K5" i="151"/>
  <c r="J4" i="139"/>
  <c r="J4" i="151"/>
  <c r="K36" i="141"/>
  <c r="K109" i="141"/>
  <c r="J81" i="141"/>
  <c r="J101" i="141"/>
  <c r="J94" i="141"/>
  <c r="J38" i="141"/>
  <c r="J110" i="141"/>
  <c r="M59" i="141"/>
  <c r="N25" i="141"/>
  <c r="J72" i="141"/>
  <c r="J80" i="141"/>
  <c r="K38" i="141"/>
  <c r="K110" i="141"/>
  <c r="K70" i="141"/>
  <c r="K66" i="141"/>
  <c r="K5" i="143"/>
  <c r="L10" i="17"/>
  <c r="K5" i="141"/>
  <c r="K5" i="17"/>
  <c r="K5" i="139"/>
  <c r="E44" i="66"/>
  <c r="E76" i="66"/>
  <c r="P34" i="141"/>
  <c r="Q34" i="141"/>
  <c r="R34" i="141"/>
  <c r="S34" i="141"/>
  <c r="T34" i="141"/>
  <c r="U34" i="141"/>
  <c r="V34" i="141"/>
  <c r="J4" i="141"/>
  <c r="J53" i="17"/>
  <c r="J4" i="140"/>
  <c r="J4" i="66"/>
  <c r="J4" i="17"/>
  <c r="J71" i="17"/>
  <c r="J4" i="143"/>
  <c r="J19" i="17"/>
  <c r="J20" i="17"/>
  <c r="J42" i="17"/>
  <c r="K13" i="17"/>
  <c r="K14" i="17"/>
  <c r="K5" i="66"/>
  <c r="R63" i="141"/>
  <c r="S63" i="141"/>
  <c r="T63" i="141"/>
  <c r="U63" i="141"/>
  <c r="V63" i="141"/>
  <c r="E116" i="66"/>
  <c r="E101" i="66"/>
  <c r="E83" i="66"/>
  <c r="E68" i="66"/>
  <c r="E57" i="66"/>
  <c r="E13" i="66"/>
  <c r="E32" i="66"/>
  <c r="E103" i="66"/>
  <c r="E43" i="66"/>
  <c r="E21" i="66"/>
  <c r="R26" i="141"/>
  <c r="S26" i="141"/>
  <c r="T26" i="141"/>
  <c r="U26" i="141"/>
  <c r="V26" i="141"/>
  <c r="J85" i="17"/>
  <c r="L5" i="140"/>
  <c r="L5" i="151"/>
  <c r="L36" i="141"/>
  <c r="L38" i="141"/>
  <c r="L110" i="141"/>
  <c r="L13" i="17"/>
  <c r="L14" i="17"/>
  <c r="L71" i="17"/>
  <c r="L5" i="17"/>
  <c r="L5" i="66"/>
  <c r="M10" i="17"/>
  <c r="L5" i="139"/>
  <c r="J87" i="141"/>
  <c r="O25" i="141"/>
  <c r="K100" i="141"/>
  <c r="L66" i="141"/>
  <c r="K81" i="141"/>
  <c r="K94" i="141"/>
  <c r="K88" i="141"/>
  <c r="L70" i="141"/>
  <c r="K101" i="141"/>
  <c r="K72" i="141"/>
  <c r="N59" i="141"/>
  <c r="L5" i="143"/>
  <c r="L5" i="141"/>
  <c r="J32" i="17"/>
  <c r="J24" i="17"/>
  <c r="J25" i="17"/>
  <c r="J2" i="151"/>
  <c r="K19" i="17"/>
  <c r="K20" i="17"/>
  <c r="K42" i="17"/>
  <c r="K53" i="17"/>
  <c r="K71" i="17"/>
  <c r="K102" i="17"/>
  <c r="L53" i="17"/>
  <c r="M5" i="140"/>
  <c r="M5" i="151"/>
  <c r="M36" i="141"/>
  <c r="N36" i="141"/>
  <c r="L109" i="141"/>
  <c r="L19" i="17"/>
  <c r="L20" i="17"/>
  <c r="L32" i="17"/>
  <c r="L102" i="17"/>
  <c r="M5" i="17"/>
  <c r="N10" i="17"/>
  <c r="M13" i="17"/>
  <c r="M14" i="17"/>
  <c r="M53" i="17"/>
  <c r="M5" i="66"/>
  <c r="M5" i="139"/>
  <c r="M5" i="141"/>
  <c r="M5" i="143"/>
  <c r="L81" i="141"/>
  <c r="L94" i="141"/>
  <c r="L88" i="141"/>
  <c r="M70" i="141"/>
  <c r="L101" i="141"/>
  <c r="M109" i="141"/>
  <c r="L100" i="141"/>
  <c r="M66" i="141"/>
  <c r="L72" i="141"/>
  <c r="P25" i="141"/>
  <c r="K80" i="141"/>
  <c r="K87" i="141"/>
  <c r="O59" i="141"/>
  <c r="K32" i="17"/>
  <c r="K24" i="17"/>
  <c r="K25" i="17"/>
  <c r="J2" i="141"/>
  <c r="J43" i="17"/>
  <c r="J44" i="17"/>
  <c r="J2" i="143"/>
  <c r="J2" i="139"/>
  <c r="J2" i="66"/>
  <c r="J59" i="143"/>
  <c r="J2" i="17"/>
  <c r="J101" i="17"/>
  <c r="J33" i="17"/>
  <c r="J34" i="17"/>
  <c r="J11" i="143"/>
  <c r="J2" i="140"/>
  <c r="J25" i="143"/>
  <c r="N5" i="139"/>
  <c r="N5" i="151"/>
  <c r="K59" i="143"/>
  <c r="K2" i="151"/>
  <c r="M38" i="141"/>
  <c r="M110" i="141"/>
  <c r="N5" i="66"/>
  <c r="O10" i="17"/>
  <c r="N5" i="140"/>
  <c r="N5" i="17"/>
  <c r="N5" i="143"/>
  <c r="N5" i="141"/>
  <c r="N13" i="17"/>
  <c r="N14" i="17"/>
  <c r="N53" i="17"/>
  <c r="M102" i="17"/>
  <c r="M71" i="17"/>
  <c r="M19" i="17"/>
  <c r="M20" i="17"/>
  <c r="Q25" i="141"/>
  <c r="M100" i="141"/>
  <c r="N66" i="141"/>
  <c r="M72" i="141"/>
  <c r="M94" i="141"/>
  <c r="N70" i="141"/>
  <c r="M101" i="141"/>
  <c r="M81" i="141"/>
  <c r="M88" i="141"/>
  <c r="L80" i="141"/>
  <c r="L87" i="141"/>
  <c r="O36" i="141"/>
  <c r="N109" i="141"/>
  <c r="N38" i="141"/>
  <c r="N110" i="141"/>
  <c r="P59" i="141"/>
  <c r="Q59" i="141"/>
  <c r="L24" i="17"/>
  <c r="L25" i="17"/>
  <c r="L42" i="17"/>
  <c r="K2" i="143"/>
  <c r="K43" i="17"/>
  <c r="K44" i="17"/>
  <c r="K48" i="17"/>
  <c r="K101" i="17"/>
  <c r="K103" i="17"/>
  <c r="K25" i="143"/>
  <c r="K31" i="143"/>
  <c r="K139" i="143" s="1"/>
  <c r="K11" i="143"/>
  <c r="K2" i="17"/>
  <c r="K2" i="141"/>
  <c r="K33" i="17"/>
  <c r="K34" i="17"/>
  <c r="K47" i="17"/>
  <c r="K2" i="66"/>
  <c r="K2" i="140"/>
  <c r="K2" i="139"/>
  <c r="J70" i="143"/>
  <c r="J86" i="143"/>
  <c r="J74" i="143"/>
  <c r="J90" i="143" s="1"/>
  <c r="J69" i="143"/>
  <c r="J85" i="143"/>
  <c r="J73" i="143"/>
  <c r="J89" i="143" s="1"/>
  <c r="J72" i="143"/>
  <c r="J88" i="143"/>
  <c r="J75" i="143"/>
  <c r="J91" i="143" s="1"/>
  <c r="J71" i="143"/>
  <c r="J87" i="143"/>
  <c r="J47" i="17"/>
  <c r="J49" i="17"/>
  <c r="J54" i="17"/>
  <c r="J55" i="17"/>
  <c r="J83" i="17"/>
  <c r="J72" i="17"/>
  <c r="J74" i="17"/>
  <c r="J79" i="17"/>
  <c r="J80" i="17"/>
  <c r="J48" i="17"/>
  <c r="J59" i="17"/>
  <c r="K60" i="17"/>
  <c r="J32" i="143"/>
  <c r="J140" i="143" s="1"/>
  <c r="J30" i="143"/>
  <c r="J29" i="143"/>
  <c r="J28" i="143"/>
  <c r="J61" i="143" s="1"/>
  <c r="J31" i="143"/>
  <c r="J139" i="143" s="1"/>
  <c r="J34" i="143"/>
  <c r="J33" i="143"/>
  <c r="K69" i="143"/>
  <c r="K85" i="143"/>
  <c r="K71" i="143"/>
  <c r="K87" i="143" s="1"/>
  <c r="K72" i="143"/>
  <c r="K88" i="143"/>
  <c r="K73" i="143"/>
  <c r="K89" i="143" s="1"/>
  <c r="K75" i="143"/>
  <c r="K91" i="143"/>
  <c r="K74" i="143"/>
  <c r="K90" i="143" s="1"/>
  <c r="K70" i="143"/>
  <c r="K86" i="143"/>
  <c r="O5" i="140"/>
  <c r="O5" i="151"/>
  <c r="J3" i="141"/>
  <c r="J3" i="151"/>
  <c r="K4" i="17"/>
  <c r="K4" i="151"/>
  <c r="L2" i="66"/>
  <c r="L2" i="151"/>
  <c r="O5" i="139"/>
  <c r="P10" i="17"/>
  <c r="O13" i="17"/>
  <c r="O14" i="17"/>
  <c r="O53" i="17"/>
  <c r="O5" i="141"/>
  <c r="O5" i="17"/>
  <c r="O5" i="66"/>
  <c r="O5" i="143"/>
  <c r="N71" i="17"/>
  <c r="N19" i="17"/>
  <c r="N20" i="17"/>
  <c r="N42" i="17"/>
  <c r="N102" i="17"/>
  <c r="K4" i="66"/>
  <c r="M42" i="17"/>
  <c r="M24" i="17"/>
  <c r="M25" i="17"/>
  <c r="K32" i="143"/>
  <c r="K140" i="143" s="1"/>
  <c r="K194" i="143"/>
  <c r="L2" i="17"/>
  <c r="L2" i="141"/>
  <c r="L101" i="17"/>
  <c r="L103" i="17"/>
  <c r="L2" i="140"/>
  <c r="L11" i="143"/>
  <c r="L2" i="143"/>
  <c r="K59" i="17"/>
  <c r="L60" i="17"/>
  <c r="L63" i="17"/>
  <c r="L2" i="139"/>
  <c r="L25" i="143"/>
  <c r="L34" i="143"/>
  <c r="L59" i="143"/>
  <c r="L69" i="143"/>
  <c r="L85" i="143"/>
  <c r="L33" i="17"/>
  <c r="L34" i="17"/>
  <c r="L54" i="17"/>
  <c r="L43" i="17"/>
  <c r="L44" i="17"/>
  <c r="L59" i="17"/>
  <c r="M60" i="17"/>
  <c r="R59" i="141"/>
  <c r="N100" i="141"/>
  <c r="O66" i="141"/>
  <c r="N72" i="141"/>
  <c r="K30" i="143"/>
  <c r="K192" i="143" s="1"/>
  <c r="N101" i="141"/>
  <c r="N81" i="141"/>
  <c r="O70" i="141"/>
  <c r="N88" i="141"/>
  <c r="N94" i="141"/>
  <c r="M32" i="17"/>
  <c r="K28" i="143"/>
  <c r="K136" i="143" s="1"/>
  <c r="K33" i="143"/>
  <c r="K66" i="143" s="1"/>
  <c r="K29" i="143"/>
  <c r="K191" i="143" s="1"/>
  <c r="K137" i="143"/>
  <c r="O109" i="141"/>
  <c r="P36" i="141"/>
  <c r="P109" i="141" s="1"/>
  <c r="O38" i="141"/>
  <c r="O110" i="141"/>
  <c r="M87" i="141"/>
  <c r="M80" i="141"/>
  <c r="R25" i="141"/>
  <c r="K34" i="143"/>
  <c r="K196" i="143" s="1"/>
  <c r="K4" i="139"/>
  <c r="K4" i="143"/>
  <c r="K4" i="140"/>
  <c r="K54" i="17"/>
  <c r="K55" i="17"/>
  <c r="K83" i="17"/>
  <c r="K4" i="141"/>
  <c r="K72" i="17"/>
  <c r="K49" i="17"/>
  <c r="K172" i="143"/>
  <c r="J3" i="17"/>
  <c r="J3" i="143"/>
  <c r="J3" i="140"/>
  <c r="J3" i="139"/>
  <c r="J3" i="66"/>
  <c r="J36" i="143"/>
  <c r="J136" i="143"/>
  <c r="K63" i="17"/>
  <c r="K64" i="17"/>
  <c r="K85" i="17"/>
  <c r="K73" i="17"/>
  <c r="J172" i="143"/>
  <c r="J118" i="143"/>
  <c r="J12" i="143"/>
  <c r="J13" i="143"/>
  <c r="J84" i="17"/>
  <c r="J86" i="17"/>
  <c r="J137" i="143"/>
  <c r="J62" i="143"/>
  <c r="J191" i="143"/>
  <c r="J37" i="143"/>
  <c r="J67" i="143"/>
  <c r="J142" i="143"/>
  <c r="J42" i="143"/>
  <c r="J196" i="143"/>
  <c r="J192" i="143"/>
  <c r="J138" i="143"/>
  <c r="J63" i="143"/>
  <c r="J38" i="143"/>
  <c r="J41" i="143"/>
  <c r="J141" i="143"/>
  <c r="J195" i="143"/>
  <c r="J66" i="143"/>
  <c r="J39" i="143"/>
  <c r="J194" i="143"/>
  <c r="K64" i="143"/>
  <c r="K141" i="143"/>
  <c r="P5" i="140"/>
  <c r="P5" i="66"/>
  <c r="P5" i="141"/>
  <c r="Q10" i="17"/>
  <c r="Q5" i="151"/>
  <c r="P5" i="151"/>
  <c r="L4" i="143"/>
  <c r="L4" i="151"/>
  <c r="M11" i="143"/>
  <c r="M2" i="151"/>
  <c r="P13" i="17"/>
  <c r="P14" i="17"/>
  <c r="P5" i="143"/>
  <c r="P5" i="17"/>
  <c r="P5" i="139"/>
  <c r="O102" i="17"/>
  <c r="O19" i="17"/>
  <c r="O20" i="17"/>
  <c r="O42" i="17"/>
  <c r="O71" i="17"/>
  <c r="M2" i="140"/>
  <c r="L32" i="143"/>
  <c r="L140" i="143" s="1"/>
  <c r="L31" i="143"/>
  <c r="L64" i="143"/>
  <c r="M2" i="66"/>
  <c r="M2" i="17"/>
  <c r="M101" i="17"/>
  <c r="M103" i="17"/>
  <c r="M33" i="17"/>
  <c r="M34" i="17"/>
  <c r="M47" i="17"/>
  <c r="M2" i="141"/>
  <c r="N32" i="17"/>
  <c r="M25" i="143"/>
  <c r="M29" i="143"/>
  <c r="M2" i="143"/>
  <c r="M2" i="139"/>
  <c r="N24" i="17"/>
  <c r="N25" i="17"/>
  <c r="K65" i="143"/>
  <c r="M59" i="143"/>
  <c r="M69" i="143"/>
  <c r="M85" i="143" s="1"/>
  <c r="M43" i="17"/>
  <c r="M44" i="17"/>
  <c r="M48" i="17"/>
  <c r="L70" i="143"/>
  <c r="L86" i="143"/>
  <c r="L75" i="143"/>
  <c r="L91" i="143" s="1"/>
  <c r="L72" i="143"/>
  <c r="L88" i="143"/>
  <c r="K42" i="143"/>
  <c r="L74" i="143"/>
  <c r="L90" i="143"/>
  <c r="L73" i="143"/>
  <c r="L89" i="143"/>
  <c r="L72" i="17"/>
  <c r="L73" i="17"/>
  <c r="L33" i="143"/>
  <c r="L41" i="143" s="1"/>
  <c r="L66" i="143"/>
  <c r="L29" i="143"/>
  <c r="L137" i="143"/>
  <c r="L30" i="143"/>
  <c r="L138" i="143" s="1"/>
  <c r="L28" i="143"/>
  <c r="L61" i="143" s="1"/>
  <c r="L55" i="17"/>
  <c r="L83" i="17"/>
  <c r="K41" i="143"/>
  <c r="L71" i="143"/>
  <c r="L87" i="143"/>
  <c r="L4" i="141"/>
  <c r="L47" i="17"/>
  <c r="L49" i="17"/>
  <c r="L4" i="17"/>
  <c r="K195" i="143"/>
  <c r="K142" i="143"/>
  <c r="S25" i="141"/>
  <c r="L4" i="66"/>
  <c r="O100" i="141"/>
  <c r="P66" i="141"/>
  <c r="O72" i="141"/>
  <c r="Q36" i="141"/>
  <c r="P38" i="141"/>
  <c r="P110" i="141" s="1"/>
  <c r="O81" i="141"/>
  <c r="O88" i="141"/>
  <c r="O101" i="141"/>
  <c r="P70" i="141"/>
  <c r="P81" i="141" s="1"/>
  <c r="O94" i="141"/>
  <c r="N80" i="141"/>
  <c r="N87" i="141"/>
  <c r="S59" i="141"/>
  <c r="L4" i="140"/>
  <c r="L4" i="139"/>
  <c r="L48" i="17"/>
  <c r="K74" i="17"/>
  <c r="K79" i="17"/>
  <c r="K80" i="17"/>
  <c r="K84" i="17"/>
  <c r="K86" i="17"/>
  <c r="K118" i="143"/>
  <c r="K12" i="143"/>
  <c r="K13" i="143"/>
  <c r="K171" i="143"/>
  <c r="L64" i="17"/>
  <c r="L85" i="17"/>
  <c r="J26" i="143"/>
  <c r="J171" i="143"/>
  <c r="P71" i="17"/>
  <c r="P53" i="17"/>
  <c r="P19" i="17"/>
  <c r="P102" i="17"/>
  <c r="L42" i="143"/>
  <c r="L67" i="143"/>
  <c r="L142" i="143"/>
  <c r="L196" i="143"/>
  <c r="Q5" i="17"/>
  <c r="Q5" i="141"/>
  <c r="Q5" i="139"/>
  <c r="Q5" i="140"/>
  <c r="Q5" i="66"/>
  <c r="R10" i="17"/>
  <c r="R5" i="151"/>
  <c r="Q5" i="143"/>
  <c r="Q13" i="17"/>
  <c r="Q14" i="17"/>
  <c r="M63" i="17"/>
  <c r="M73" i="17"/>
  <c r="N25" i="143"/>
  <c r="N2" i="151"/>
  <c r="K3" i="143"/>
  <c r="K3" i="151"/>
  <c r="M4" i="141"/>
  <c r="M4" i="151"/>
  <c r="L193" i="143"/>
  <c r="L39" i="143"/>
  <c r="L139" i="143"/>
  <c r="O24" i="17"/>
  <c r="O25" i="17"/>
  <c r="M33" i="143"/>
  <c r="M66" i="143" s="1"/>
  <c r="N2" i="139"/>
  <c r="L195" i="143"/>
  <c r="N11" i="143"/>
  <c r="M30" i="143"/>
  <c r="M192" i="143"/>
  <c r="M4" i="66"/>
  <c r="N33" i="17"/>
  <c r="N34" i="17"/>
  <c r="N72" i="17"/>
  <c r="L192" i="143"/>
  <c r="M32" i="143"/>
  <c r="M40" i="143" s="1"/>
  <c r="N43" i="17"/>
  <c r="N44" i="17"/>
  <c r="N48" i="17"/>
  <c r="N2" i="140"/>
  <c r="M75" i="143"/>
  <c r="M91" i="143"/>
  <c r="M72" i="143"/>
  <c r="M88" i="143" s="1"/>
  <c r="O32" i="17"/>
  <c r="P20" i="17"/>
  <c r="P24" i="17"/>
  <c r="P25" i="17"/>
  <c r="P2" i="151"/>
  <c r="M59" i="17"/>
  <c r="N60" i="17"/>
  <c r="N63" i="17"/>
  <c r="M34" i="143"/>
  <c r="M142" i="143" s="1"/>
  <c r="M42" i="143"/>
  <c r="N2" i="141"/>
  <c r="N2" i="17"/>
  <c r="M28" i="143"/>
  <c r="M190" i="143" s="1"/>
  <c r="M31" i="143"/>
  <c r="M193" i="143" s="1"/>
  <c r="M4" i="17"/>
  <c r="N2" i="66"/>
  <c r="N2" i="143"/>
  <c r="M71" i="143"/>
  <c r="M87" i="143"/>
  <c r="M70" i="143"/>
  <c r="M86" i="143" s="1"/>
  <c r="M74" i="143"/>
  <c r="M90" i="143"/>
  <c r="M4" i="139"/>
  <c r="N59" i="143"/>
  <c r="N75" i="143"/>
  <c r="N91" i="143"/>
  <c r="N101" i="17"/>
  <c r="N103" i="17"/>
  <c r="M73" i="143"/>
  <c r="M89" i="143"/>
  <c r="L141" i="143"/>
  <c r="M4" i="143"/>
  <c r="M4" i="140"/>
  <c r="L190" i="143"/>
  <c r="L136" i="143"/>
  <c r="M54" i="17"/>
  <c r="M55" i="17"/>
  <c r="M83" i="17"/>
  <c r="L37" i="143"/>
  <c r="M72" i="17"/>
  <c r="L62" i="143"/>
  <c r="L191" i="143"/>
  <c r="L63" i="143"/>
  <c r="L172" i="143"/>
  <c r="L118" i="143"/>
  <c r="T59" i="141"/>
  <c r="P72" i="141"/>
  <c r="P87" i="141" s="1"/>
  <c r="P101" i="141"/>
  <c r="P94" i="141"/>
  <c r="Q70" i="141"/>
  <c r="R36" i="141"/>
  <c r="R109" i="141" s="1"/>
  <c r="Q109" i="141"/>
  <c r="T25" i="141"/>
  <c r="O80" i="141"/>
  <c r="O87" i="141"/>
  <c r="Q66" i="141"/>
  <c r="P100" i="141"/>
  <c r="K3" i="140"/>
  <c r="L74" i="17"/>
  <c r="L79" i="17"/>
  <c r="L80" i="17"/>
  <c r="K3" i="66"/>
  <c r="K3" i="139"/>
  <c r="K3" i="141"/>
  <c r="K3" i="17"/>
  <c r="K26" i="143"/>
  <c r="L12" i="143"/>
  <c r="L13" i="143"/>
  <c r="L26" i="143"/>
  <c r="M49" i="17"/>
  <c r="M84" i="17"/>
  <c r="L84" i="17"/>
  <c r="L86" i="17"/>
  <c r="M64" i="17"/>
  <c r="M85" i="17"/>
  <c r="N34" i="143"/>
  <c r="N30" i="143"/>
  <c r="N192" i="143" s="1"/>
  <c r="N31" i="143"/>
  <c r="N193" i="143" s="1"/>
  <c r="N29" i="143"/>
  <c r="N32" i="143"/>
  <c r="N28" i="143"/>
  <c r="N33" i="143"/>
  <c r="N41" i="143" s="1"/>
  <c r="Q71" i="17"/>
  <c r="Q102" i="17"/>
  <c r="Q53" i="17"/>
  <c r="Q19" i="17"/>
  <c r="M62" i="143"/>
  <c r="M191" i="143"/>
  <c r="M37" i="143"/>
  <c r="M137" i="143"/>
  <c r="R5" i="141"/>
  <c r="R5" i="140"/>
  <c r="R13" i="17"/>
  <c r="R14" i="17"/>
  <c r="S10" i="17"/>
  <c r="S5" i="151"/>
  <c r="R5" i="143"/>
  <c r="R5" i="66"/>
  <c r="R5" i="17"/>
  <c r="R5" i="139"/>
  <c r="L3" i="66"/>
  <c r="L3" i="151"/>
  <c r="N4" i="17"/>
  <c r="N4" i="151"/>
  <c r="O2" i="66"/>
  <c r="O2" i="151"/>
  <c r="O11" i="143"/>
  <c r="O59" i="143"/>
  <c r="O74" i="143"/>
  <c r="O90" i="143"/>
  <c r="O33" i="17"/>
  <c r="O25" i="143"/>
  <c r="O32" i="143"/>
  <c r="O65" i="143" s="1"/>
  <c r="O2" i="140"/>
  <c r="O2" i="139"/>
  <c r="M195" i="143"/>
  <c r="M138" i="143"/>
  <c r="M41" i="143"/>
  <c r="O2" i="17"/>
  <c r="O2" i="141"/>
  <c r="O101" i="17"/>
  <c r="O103" i="17"/>
  <c r="M141" i="143"/>
  <c r="O2" i="143"/>
  <c r="O43" i="17"/>
  <c r="O44" i="17"/>
  <c r="O48" i="17"/>
  <c r="N59" i="17"/>
  <c r="O60" i="17"/>
  <c r="O63" i="17"/>
  <c r="M194" i="143"/>
  <c r="M136" i="143"/>
  <c r="M36" i="143"/>
  <c r="M140" i="143"/>
  <c r="M65" i="143"/>
  <c r="M38" i="143"/>
  <c r="N54" i="17"/>
  <c r="N55" i="17"/>
  <c r="N83" i="17"/>
  <c r="M63" i="143"/>
  <c r="N73" i="17"/>
  <c r="L3" i="143"/>
  <c r="L3" i="139"/>
  <c r="M67" i="143"/>
  <c r="M139" i="143"/>
  <c r="N73" i="143"/>
  <c r="N89" i="143"/>
  <c r="Q20" i="17"/>
  <c r="Q42" i="17"/>
  <c r="N72" i="143"/>
  <c r="N88" i="143"/>
  <c r="M64" i="143"/>
  <c r="P42" i="17"/>
  <c r="M61" i="143"/>
  <c r="N74" i="143"/>
  <c r="N90" i="143"/>
  <c r="N69" i="143"/>
  <c r="N85" i="143"/>
  <c r="M39" i="143"/>
  <c r="P32" i="17"/>
  <c r="N71" i="143"/>
  <c r="N87" i="143"/>
  <c r="O34" i="17"/>
  <c r="O47" i="17"/>
  <c r="N70" i="143"/>
  <c r="N86" i="143"/>
  <c r="N47" i="17"/>
  <c r="N49" i="17"/>
  <c r="N84" i="17"/>
  <c r="N4" i="139"/>
  <c r="N4" i="141"/>
  <c r="N4" i="140"/>
  <c r="N4" i="66"/>
  <c r="N4" i="143"/>
  <c r="L3" i="141"/>
  <c r="L3" i="17"/>
  <c r="L3" i="140"/>
  <c r="Q100" i="141"/>
  <c r="R66" i="141"/>
  <c r="Q72" i="141"/>
  <c r="Q80" i="141" s="1"/>
  <c r="U25" i="141"/>
  <c r="Q101" i="141"/>
  <c r="Q88" i="141"/>
  <c r="Q81" i="141"/>
  <c r="R70" i="141"/>
  <c r="Q94" i="141"/>
  <c r="N64" i="17"/>
  <c r="N85" i="17"/>
  <c r="S36" i="141"/>
  <c r="U59" i="141"/>
  <c r="L171" i="143"/>
  <c r="M118" i="143"/>
  <c r="M172" i="143"/>
  <c r="M74" i="17"/>
  <c r="M79" i="17"/>
  <c r="M80" i="17"/>
  <c r="M12" i="143"/>
  <c r="M13" i="143"/>
  <c r="M26" i="143"/>
  <c r="N141" i="143"/>
  <c r="N139" i="143"/>
  <c r="M86" i="17"/>
  <c r="P11" i="143"/>
  <c r="P101" i="17"/>
  <c r="P43" i="17"/>
  <c r="P2" i="141"/>
  <c r="P2" i="140"/>
  <c r="P2" i="17"/>
  <c r="P33" i="17"/>
  <c r="P59" i="143"/>
  <c r="P2" i="139"/>
  <c r="P2" i="66"/>
  <c r="P2" i="143"/>
  <c r="P25" i="143"/>
  <c r="S5" i="143"/>
  <c r="S13" i="17"/>
  <c r="S14" i="17"/>
  <c r="S5" i="139"/>
  <c r="T10" i="17"/>
  <c r="T5" i="151"/>
  <c r="S5" i="140"/>
  <c r="S5" i="141"/>
  <c r="S5" i="66"/>
  <c r="S5" i="17"/>
  <c r="N36" i="143"/>
  <c r="N136" i="143"/>
  <c r="N190" i="143"/>
  <c r="N61" i="143"/>
  <c r="N138" i="143"/>
  <c r="N38" i="143"/>
  <c r="N191" i="143"/>
  <c r="N62" i="143"/>
  <c r="N37" i="143"/>
  <c r="N137" i="143"/>
  <c r="R53" i="17"/>
  <c r="R19" i="17"/>
  <c r="R71" i="17"/>
  <c r="R102" i="17"/>
  <c r="N40" i="143"/>
  <c r="N65" i="143"/>
  <c r="N140" i="143"/>
  <c r="N194" i="143"/>
  <c r="N142" i="143"/>
  <c r="N196" i="143"/>
  <c r="N42" i="143"/>
  <c r="N67" i="143"/>
  <c r="M3" i="140"/>
  <c r="M3" i="151"/>
  <c r="O70" i="143"/>
  <c r="O86" i="143" s="1"/>
  <c r="O4" i="139"/>
  <c r="O4" i="151"/>
  <c r="O71" i="143"/>
  <c r="O87" i="143" s="1"/>
  <c r="O34" i="143"/>
  <c r="O196" i="143" s="1"/>
  <c r="O67" i="143"/>
  <c r="O75" i="143"/>
  <c r="O91" i="143" s="1"/>
  <c r="O73" i="143"/>
  <c r="O89" i="143"/>
  <c r="O72" i="143"/>
  <c r="O88" i="143" s="1"/>
  <c r="O69" i="143"/>
  <c r="O85" i="143" s="1"/>
  <c r="O28" i="143"/>
  <c r="O136" i="143" s="1"/>
  <c r="O61" i="143"/>
  <c r="O30" i="143"/>
  <c r="O192" i="143"/>
  <c r="O73" i="17"/>
  <c r="O31" i="143"/>
  <c r="O39" i="143" s="1"/>
  <c r="O33" i="143"/>
  <c r="O195" i="143" s="1"/>
  <c r="O141" i="143"/>
  <c r="O29" i="143"/>
  <c r="O137" i="143" s="1"/>
  <c r="O59" i="17"/>
  <c r="P60" i="17"/>
  <c r="P73" i="17"/>
  <c r="Q24" i="17"/>
  <c r="Q25" i="17"/>
  <c r="Q32" i="17"/>
  <c r="O4" i="66"/>
  <c r="R20" i="17"/>
  <c r="R32" i="17"/>
  <c r="O4" i="140"/>
  <c r="P103" i="17"/>
  <c r="O54" i="17"/>
  <c r="O55" i="17"/>
  <c r="O83" i="17"/>
  <c r="P34" i="17"/>
  <c r="P54" i="17"/>
  <c r="O4" i="143"/>
  <c r="O72" i="17"/>
  <c r="O4" i="141"/>
  <c r="P44" i="17"/>
  <c r="P59" i="17"/>
  <c r="Q60" i="17"/>
  <c r="O4" i="17"/>
  <c r="M3" i="139"/>
  <c r="M3" i="143"/>
  <c r="M3" i="17"/>
  <c r="M3" i="66"/>
  <c r="M3" i="141"/>
  <c r="R100" i="141"/>
  <c r="S66" i="141"/>
  <c r="V59" i="141"/>
  <c r="S70" i="141"/>
  <c r="R88" i="141"/>
  <c r="R81" i="141"/>
  <c r="R101" i="141"/>
  <c r="R94" i="141"/>
  <c r="V25" i="141"/>
  <c r="O64" i="17"/>
  <c r="O85" i="17"/>
  <c r="S109" i="141"/>
  <c r="T36" i="141"/>
  <c r="T38" i="141" s="1"/>
  <c r="T110" i="141" s="1"/>
  <c r="S38" i="141"/>
  <c r="S110" i="141" s="1"/>
  <c r="Q87" i="141"/>
  <c r="N12" i="143"/>
  <c r="N13" i="143"/>
  <c r="N26" i="143"/>
  <c r="M171" i="143"/>
  <c r="N172" i="143"/>
  <c r="N74" i="17"/>
  <c r="N79" i="17"/>
  <c r="N80" i="17"/>
  <c r="N118" i="143"/>
  <c r="O49" i="17"/>
  <c r="O172" i="143"/>
  <c r="P34" i="143"/>
  <c r="P32" i="143"/>
  <c r="P28" i="143"/>
  <c r="P29" i="143"/>
  <c r="P33" i="143"/>
  <c r="P31" i="143"/>
  <c r="P30" i="143"/>
  <c r="P138" i="143" s="1"/>
  <c r="O42" i="143"/>
  <c r="T5" i="139"/>
  <c r="T5" i="66"/>
  <c r="U10" i="17"/>
  <c r="U5" i="151"/>
  <c r="T5" i="141"/>
  <c r="T5" i="17"/>
  <c r="T5" i="143"/>
  <c r="T13" i="17"/>
  <c r="T14" i="17"/>
  <c r="T5" i="140"/>
  <c r="P73" i="143"/>
  <c r="P89" i="143" s="1"/>
  <c r="P69" i="143"/>
  <c r="P85" i="143" s="1"/>
  <c r="P75" i="143"/>
  <c r="P91" i="143"/>
  <c r="P74" i="143"/>
  <c r="P90" i="143" s="1"/>
  <c r="P72" i="143"/>
  <c r="P88" i="143"/>
  <c r="P71" i="143"/>
  <c r="P87" i="143" s="1"/>
  <c r="P70" i="143"/>
  <c r="P86" i="143"/>
  <c r="S19" i="17"/>
  <c r="S71" i="17"/>
  <c r="S102" i="17"/>
  <c r="S53" i="17"/>
  <c r="N86" i="17"/>
  <c r="O191" i="143"/>
  <c r="O140" i="143"/>
  <c r="O194" i="143"/>
  <c r="O142" i="143"/>
  <c r="P4" i="143"/>
  <c r="P4" i="151"/>
  <c r="Q25" i="143"/>
  <c r="Q2" i="151"/>
  <c r="N3" i="139"/>
  <c r="N3" i="151"/>
  <c r="O38" i="143"/>
  <c r="O66" i="143"/>
  <c r="O41" i="143"/>
  <c r="O36" i="143"/>
  <c r="O138" i="143"/>
  <c r="O37" i="143"/>
  <c r="O63" i="143"/>
  <c r="O62" i="143"/>
  <c r="O193" i="143"/>
  <c r="P63" i="17"/>
  <c r="P64" i="17"/>
  <c r="P85" i="17"/>
  <c r="O64" i="143"/>
  <c r="Q2" i="143"/>
  <c r="Q2" i="139"/>
  <c r="O139" i="143"/>
  <c r="Q2" i="140"/>
  <c r="Q101" i="17"/>
  <c r="Q103" i="17"/>
  <c r="Q43" i="17"/>
  <c r="Q44" i="17"/>
  <c r="Q59" i="17"/>
  <c r="R60" i="17"/>
  <c r="Q33" i="17"/>
  <c r="Q34" i="17"/>
  <c r="Q72" i="17"/>
  <c r="Q2" i="141"/>
  <c r="Q11" i="143"/>
  <c r="Q2" i="17"/>
  <c r="Q59" i="143"/>
  <c r="Q75" i="143"/>
  <c r="Q91" i="143" s="1"/>
  <c r="Q2" i="66"/>
  <c r="S20" i="17"/>
  <c r="S24" i="17"/>
  <c r="S25" i="17"/>
  <c r="S2" i="151"/>
  <c r="R42" i="17"/>
  <c r="R24" i="17"/>
  <c r="R25" i="17"/>
  <c r="P72" i="17"/>
  <c r="P48" i="17"/>
  <c r="P4" i="66"/>
  <c r="P4" i="139"/>
  <c r="P4" i="17"/>
  <c r="P4" i="140"/>
  <c r="P4" i="141"/>
  <c r="P55" i="17"/>
  <c r="P83" i="17"/>
  <c r="P47" i="17"/>
  <c r="P49" i="17"/>
  <c r="P118" i="143"/>
  <c r="N171" i="143"/>
  <c r="O12" i="143"/>
  <c r="O13" i="143"/>
  <c r="O26" i="143"/>
  <c r="T109" i="141"/>
  <c r="U36" i="141"/>
  <c r="S101" i="141"/>
  <c r="S88" i="141"/>
  <c r="T70" i="141"/>
  <c r="T101" i="141" s="1"/>
  <c r="S81" i="141"/>
  <c r="S94" i="141"/>
  <c r="T66" i="141"/>
  <c r="S100" i="141"/>
  <c r="S72" i="141"/>
  <c r="S87" i="141" s="1"/>
  <c r="N3" i="143"/>
  <c r="N3" i="66"/>
  <c r="N3" i="141"/>
  <c r="N3" i="17"/>
  <c r="N3" i="140"/>
  <c r="O118" i="143"/>
  <c r="O84" i="17"/>
  <c r="O86" i="17"/>
  <c r="O74" i="17"/>
  <c r="O79" i="17"/>
  <c r="O80" i="17"/>
  <c r="T71" i="17"/>
  <c r="T102" i="17"/>
  <c r="T53" i="17"/>
  <c r="T19" i="17"/>
  <c r="P61" i="143"/>
  <c r="P136" i="143"/>
  <c r="P190" i="143"/>
  <c r="P36" i="143"/>
  <c r="Q29" i="143"/>
  <c r="Q31" i="143"/>
  <c r="Q32" i="143"/>
  <c r="Q34" i="143"/>
  <c r="Q196" i="143" s="1"/>
  <c r="Q33" i="143"/>
  <c r="Q30" i="143"/>
  <c r="Q28" i="143"/>
  <c r="Q136" i="143" s="1"/>
  <c r="P139" i="143"/>
  <c r="P64" i="143"/>
  <c r="P193" i="143"/>
  <c r="P39" i="143"/>
  <c r="P194" i="143"/>
  <c r="P65" i="143"/>
  <c r="P140" i="143"/>
  <c r="P40" i="143"/>
  <c r="U5" i="141"/>
  <c r="U5" i="143"/>
  <c r="U13" i="17"/>
  <c r="U14" i="17"/>
  <c r="U5" i="140"/>
  <c r="U5" i="139"/>
  <c r="V10" i="17"/>
  <c r="V5" i="151"/>
  <c r="U5" i="17"/>
  <c r="U5" i="66"/>
  <c r="P38" i="143"/>
  <c r="P63" i="143"/>
  <c r="P195" i="143"/>
  <c r="P41" i="143"/>
  <c r="P66" i="143"/>
  <c r="P141" i="143"/>
  <c r="P67" i="143"/>
  <c r="P196" i="143"/>
  <c r="P142" i="143"/>
  <c r="P42" i="143"/>
  <c r="Q73" i="17"/>
  <c r="Q63" i="17"/>
  <c r="O3" i="66"/>
  <c r="O3" i="151"/>
  <c r="R2" i="17"/>
  <c r="R2" i="151"/>
  <c r="Q4" i="66"/>
  <c r="Q4" i="151"/>
  <c r="S32" i="17"/>
  <c r="Q48" i="17"/>
  <c r="Q71" i="143"/>
  <c r="Q87" i="143"/>
  <c r="Q4" i="140"/>
  <c r="S42" i="17"/>
  <c r="T20" i="17"/>
  <c r="T32" i="17"/>
  <c r="Q70" i="143"/>
  <c r="Q86" i="143" s="1"/>
  <c r="Q74" i="143"/>
  <c r="Q90" i="143"/>
  <c r="Q69" i="143"/>
  <c r="Q85" i="143"/>
  <c r="Q72" i="143"/>
  <c r="Q88" i="143"/>
  <c r="Q73" i="143"/>
  <c r="Q89" i="143" s="1"/>
  <c r="R11" i="143"/>
  <c r="Q47" i="17"/>
  <c r="Q49" i="17"/>
  <c r="Q118" i="143"/>
  <c r="R2" i="141"/>
  <c r="Q54" i="17"/>
  <c r="Q55" i="17"/>
  <c r="Q83" i="17"/>
  <c r="R59" i="143"/>
  <c r="R2" i="140"/>
  <c r="R2" i="66"/>
  <c r="R43" i="17"/>
  <c r="R44" i="17"/>
  <c r="R48" i="17"/>
  <c r="R2" i="143"/>
  <c r="R33" i="17"/>
  <c r="R34" i="17"/>
  <c r="R54" i="17"/>
  <c r="R101" i="17"/>
  <c r="R103" i="17"/>
  <c r="R2" i="139"/>
  <c r="R25" i="143"/>
  <c r="Q4" i="141"/>
  <c r="Q4" i="143"/>
  <c r="Q4" i="17"/>
  <c r="Q4" i="139"/>
  <c r="P172" i="143"/>
  <c r="Q64" i="17"/>
  <c r="Q85" i="17"/>
  <c r="O171" i="143"/>
  <c r="P84" i="17"/>
  <c r="P86" i="17"/>
  <c r="P12" i="143"/>
  <c r="P13" i="143"/>
  <c r="P171" i="143"/>
  <c r="T88" i="141"/>
  <c r="T81" i="141"/>
  <c r="U70" i="141"/>
  <c r="T100" i="141"/>
  <c r="U66" i="141"/>
  <c r="V36" i="141"/>
  <c r="U109" i="141"/>
  <c r="O3" i="139"/>
  <c r="O3" i="17"/>
  <c r="O3" i="143"/>
  <c r="O3" i="140"/>
  <c r="O3" i="141"/>
  <c r="P74" i="17"/>
  <c r="P79" i="17"/>
  <c r="P80" i="17"/>
  <c r="Q39" i="143"/>
  <c r="Q64" i="143"/>
  <c r="Q139" i="143"/>
  <c r="Q193" i="143"/>
  <c r="U102" i="17"/>
  <c r="U71" i="17"/>
  <c r="U53" i="17"/>
  <c r="U19" i="17"/>
  <c r="S43" i="17"/>
  <c r="S44" i="17"/>
  <c r="S2" i="140"/>
  <c r="S2" i="141"/>
  <c r="S59" i="143"/>
  <c r="S2" i="139"/>
  <c r="S2" i="143"/>
  <c r="S33" i="17"/>
  <c r="S34" i="17"/>
  <c r="S11" i="143"/>
  <c r="S25" i="143"/>
  <c r="S2" i="17"/>
  <c r="S2" i="66"/>
  <c r="S101" i="17"/>
  <c r="Q138" i="143"/>
  <c r="Q38" i="143"/>
  <c r="Q192" i="143"/>
  <c r="Q63" i="143"/>
  <c r="V5" i="143"/>
  <c r="V5" i="66"/>
  <c r="V13" i="17"/>
  <c r="V14" i="17"/>
  <c r="V5" i="141"/>
  <c r="V5" i="17"/>
  <c r="V5" i="140"/>
  <c r="V5" i="139"/>
  <c r="F11" i="17"/>
  <c r="F89" i="17"/>
  <c r="Q142" i="143"/>
  <c r="Q42" i="143"/>
  <c r="R73" i="17"/>
  <c r="R63" i="17"/>
  <c r="Q61" i="143"/>
  <c r="Q140" i="143"/>
  <c r="Q194" i="143"/>
  <c r="Q65" i="143"/>
  <c r="Q40" i="143"/>
  <c r="T24" i="17"/>
  <c r="T25" i="17"/>
  <c r="T2" i="151"/>
  <c r="P3" i="17"/>
  <c r="P3" i="151"/>
  <c r="R4" i="66"/>
  <c r="R4" i="151"/>
  <c r="T42" i="17"/>
  <c r="U20" i="17"/>
  <c r="U24" i="17"/>
  <c r="U25" i="17"/>
  <c r="U2" i="151"/>
  <c r="R59" i="17"/>
  <c r="S60" i="17"/>
  <c r="S63" i="17"/>
  <c r="P26" i="143"/>
  <c r="Q172" i="143"/>
  <c r="R47" i="17"/>
  <c r="R49" i="17"/>
  <c r="R118" i="143"/>
  <c r="R72" i="17"/>
  <c r="R55" i="17"/>
  <c r="R83" i="17"/>
  <c r="R4" i="141"/>
  <c r="R4" i="139"/>
  <c r="R4" i="143"/>
  <c r="S103" i="17"/>
  <c r="R4" i="17"/>
  <c r="R4" i="140"/>
  <c r="R64" i="17"/>
  <c r="R85" i="17"/>
  <c r="Q84" i="17"/>
  <c r="Q86" i="17"/>
  <c r="Q12" i="143"/>
  <c r="Q13" i="143"/>
  <c r="Q26" i="143"/>
  <c r="P3" i="66"/>
  <c r="U100" i="141"/>
  <c r="V66" i="141"/>
  <c r="U72" i="141"/>
  <c r="U80" i="141" s="1"/>
  <c r="V109" i="141"/>
  <c r="U88" i="141"/>
  <c r="U101" i="141"/>
  <c r="U94" i="141"/>
  <c r="V70" i="141"/>
  <c r="U81" i="141"/>
  <c r="P3" i="139"/>
  <c r="P3" i="140"/>
  <c r="P3" i="141"/>
  <c r="P3" i="143"/>
  <c r="Q74" i="17"/>
  <c r="Q79" i="17"/>
  <c r="Q80" i="17"/>
  <c r="S48" i="17"/>
  <c r="S59" i="17"/>
  <c r="T60" i="17"/>
  <c r="S72" i="17"/>
  <c r="S54" i="17"/>
  <c r="S47" i="17"/>
  <c r="S73" i="143"/>
  <c r="S89" i="143"/>
  <c r="S74" i="143"/>
  <c r="S90" i="143" s="1"/>
  <c r="S71" i="143"/>
  <c r="S87" i="143"/>
  <c r="S72" i="143"/>
  <c r="S88" i="143" s="1"/>
  <c r="S69" i="143"/>
  <c r="S85" i="143" s="1"/>
  <c r="S75" i="143"/>
  <c r="S91" i="143" s="1"/>
  <c r="S70" i="143"/>
  <c r="S86" i="143"/>
  <c r="T2" i="141"/>
  <c r="T43" i="17"/>
  <c r="T101" i="17"/>
  <c r="T2" i="140"/>
  <c r="T25" i="143"/>
  <c r="T2" i="17"/>
  <c r="T59" i="143"/>
  <c r="T2" i="66"/>
  <c r="T2" i="143"/>
  <c r="T33" i="17"/>
  <c r="T34" i="17"/>
  <c r="T2" i="139"/>
  <c r="V102" i="17"/>
  <c r="V71" i="17"/>
  <c r="V53" i="17"/>
  <c r="V19" i="17"/>
  <c r="H14" i="17"/>
  <c r="T11" i="143"/>
  <c r="Q3" i="140"/>
  <c r="Q3" i="151"/>
  <c r="S4" i="141"/>
  <c r="F95" i="141"/>
  <c r="F102" i="66" s="1"/>
  <c r="F107" i="66" s="1"/>
  <c r="F146" i="66" s="1"/>
  <c r="S4" i="151"/>
  <c r="S55" i="17"/>
  <c r="S83" i="17"/>
  <c r="U42" i="17"/>
  <c r="V20" i="17"/>
  <c r="V32" i="17"/>
  <c r="U32" i="17"/>
  <c r="T44" i="17"/>
  <c r="T59" i="17"/>
  <c r="U60" i="17"/>
  <c r="R172" i="143"/>
  <c r="S73" i="17"/>
  <c r="R12" i="143"/>
  <c r="R13" i="143"/>
  <c r="R171" i="143"/>
  <c r="R84" i="17"/>
  <c r="R86" i="17"/>
  <c r="S49" i="17"/>
  <c r="S84" i="17"/>
  <c r="S4" i="140"/>
  <c r="S4" i="139"/>
  <c r="S4" i="66"/>
  <c r="S4" i="143"/>
  <c r="T103" i="17"/>
  <c r="S4" i="17"/>
  <c r="S64" i="17"/>
  <c r="S85" i="17"/>
  <c r="Q171" i="143"/>
  <c r="V94" i="141"/>
  <c r="V88" i="141"/>
  <c r="V81" i="141"/>
  <c r="V101" i="141"/>
  <c r="V100" i="141"/>
  <c r="V72" i="141"/>
  <c r="V87" i="141" s="1"/>
  <c r="Q3" i="141"/>
  <c r="Q3" i="66"/>
  <c r="Q3" i="143"/>
  <c r="Q3" i="17"/>
  <c r="Q3" i="139"/>
  <c r="R74" i="17"/>
  <c r="R79" i="17"/>
  <c r="R80" i="17"/>
  <c r="T54" i="17"/>
  <c r="T55" i="17"/>
  <c r="T72" i="17"/>
  <c r="T47" i="17"/>
  <c r="H19" i="17"/>
  <c r="H53" i="17"/>
  <c r="H102" i="17"/>
  <c r="H71" i="17"/>
  <c r="U2" i="66"/>
  <c r="U2" i="143"/>
  <c r="U2" i="140"/>
  <c r="U2" i="141"/>
  <c r="U43" i="17"/>
  <c r="U2" i="139"/>
  <c r="U101" i="17"/>
  <c r="U59" i="143"/>
  <c r="U2" i="17"/>
  <c r="U25" i="143"/>
  <c r="U11" i="143"/>
  <c r="U33" i="17"/>
  <c r="T75" i="143"/>
  <c r="T91" i="143" s="1"/>
  <c r="T72" i="143"/>
  <c r="T88" i="143"/>
  <c r="T70" i="143"/>
  <c r="T86" i="143" s="1"/>
  <c r="T69" i="143"/>
  <c r="T85" i="143" s="1"/>
  <c r="T74" i="143"/>
  <c r="T90" i="143"/>
  <c r="T71" i="143"/>
  <c r="T87" i="143" s="1"/>
  <c r="T73" i="143"/>
  <c r="T89" i="143"/>
  <c r="T73" i="17"/>
  <c r="T63" i="17"/>
  <c r="F102" i="141"/>
  <c r="F44" i="66" s="1"/>
  <c r="F82" i="141"/>
  <c r="F83" i="66" s="1"/>
  <c r="F85" i="66" s="1"/>
  <c r="F142" i="66" s="1"/>
  <c r="F111" i="141"/>
  <c r="F151" i="66" s="1"/>
  <c r="T4" i="17"/>
  <c r="T4" i="151"/>
  <c r="R3" i="141"/>
  <c r="R3" i="151"/>
  <c r="U34" i="17"/>
  <c r="U72" i="17"/>
  <c r="V24" i="17"/>
  <c r="V25" i="17"/>
  <c r="V2" i="151"/>
  <c r="U44" i="17"/>
  <c r="U59" i="17"/>
  <c r="V60" i="17"/>
  <c r="V42" i="17"/>
  <c r="S172" i="143"/>
  <c r="T48" i="17"/>
  <c r="R26" i="143"/>
  <c r="R28" i="143"/>
  <c r="R61" i="143" s="1"/>
  <c r="R69" i="143" s="1"/>
  <c r="R85" i="143" s="1"/>
  <c r="S118" i="143"/>
  <c r="S12" i="143"/>
  <c r="S13" i="143"/>
  <c r="S171" i="143"/>
  <c r="T49" i="17"/>
  <c r="T172" i="143"/>
  <c r="T4" i="139"/>
  <c r="T4" i="140"/>
  <c r="T4" i="141"/>
  <c r="T4" i="143"/>
  <c r="T64" i="17"/>
  <c r="T85" i="17"/>
  <c r="T4" i="66"/>
  <c r="U103" i="17"/>
  <c r="R3" i="140"/>
  <c r="R3" i="143"/>
  <c r="R3" i="139"/>
  <c r="R3" i="17"/>
  <c r="S74" i="17"/>
  <c r="S79" i="17"/>
  <c r="S80" i="17"/>
  <c r="R3" i="66"/>
  <c r="U75" i="143"/>
  <c r="U91" i="143" s="1"/>
  <c r="U74" i="143"/>
  <c r="U90" i="143"/>
  <c r="U69" i="143"/>
  <c r="U85" i="143" s="1"/>
  <c r="U73" i="143"/>
  <c r="U89" i="143"/>
  <c r="U71" i="143"/>
  <c r="U87" i="143" s="1"/>
  <c r="U70" i="143"/>
  <c r="U86" i="143"/>
  <c r="U72" i="143"/>
  <c r="U88" i="143" s="1"/>
  <c r="V101" i="17"/>
  <c r="V2" i="140"/>
  <c r="V2" i="143"/>
  <c r="T83" i="17"/>
  <c r="S86" i="17"/>
  <c r="U63" i="17"/>
  <c r="U73" i="17"/>
  <c r="U47" i="17"/>
  <c r="U49" i="17"/>
  <c r="U54" i="17"/>
  <c r="U55" i="17"/>
  <c r="U48" i="17"/>
  <c r="V2" i="139"/>
  <c r="V2" i="141"/>
  <c r="V2" i="17"/>
  <c r="V11" i="143"/>
  <c r="V25" i="143"/>
  <c r="V2" i="66"/>
  <c r="V33" i="17"/>
  <c r="V34" i="17"/>
  <c r="V54" i="17"/>
  <c r="V55" i="17"/>
  <c r="V59" i="143"/>
  <c r="V43" i="17"/>
  <c r="S3" i="17"/>
  <c r="S3" i="151"/>
  <c r="U4" i="140"/>
  <c r="U4" i="151"/>
  <c r="V44" i="17"/>
  <c r="V48" i="17"/>
  <c r="R31" i="143"/>
  <c r="R29" i="143"/>
  <c r="R37" i="143"/>
  <c r="R30" i="143"/>
  <c r="R34" i="143"/>
  <c r="R42" i="143"/>
  <c r="R32" i="143"/>
  <c r="R33" i="143"/>
  <c r="T118" i="143"/>
  <c r="T84" i="17"/>
  <c r="T86" i="17"/>
  <c r="T12" i="143"/>
  <c r="T13" i="143"/>
  <c r="T26" i="143"/>
  <c r="V103" i="17"/>
  <c r="S26" i="143"/>
  <c r="S33" i="143"/>
  <c r="U64" i="17"/>
  <c r="U85" i="17"/>
  <c r="U4" i="17"/>
  <c r="U4" i="143"/>
  <c r="U4" i="66"/>
  <c r="U4" i="141"/>
  <c r="U4" i="139"/>
  <c r="S3" i="139"/>
  <c r="S3" i="141"/>
  <c r="S3" i="143"/>
  <c r="S3" i="66"/>
  <c r="S3" i="140"/>
  <c r="T74" i="17"/>
  <c r="T79" i="17"/>
  <c r="T80" i="17"/>
  <c r="U83" i="17"/>
  <c r="V73" i="17"/>
  <c r="V63" i="17"/>
  <c r="H60" i="17"/>
  <c r="V73" i="143"/>
  <c r="V89" i="143"/>
  <c r="V72" i="143"/>
  <c r="V88" i="143" s="1"/>
  <c r="V74" i="143"/>
  <c r="V90" i="143"/>
  <c r="V69" i="143"/>
  <c r="V85" i="143" s="1"/>
  <c r="V70" i="143"/>
  <c r="V86" i="143"/>
  <c r="V75" i="143"/>
  <c r="V91" i="143"/>
  <c r="V71" i="143"/>
  <c r="V87" i="143"/>
  <c r="R190" i="143"/>
  <c r="R36" i="143"/>
  <c r="R136" i="143"/>
  <c r="R62" i="143"/>
  <c r="R70" i="143"/>
  <c r="R86" i="143"/>
  <c r="R191" i="143"/>
  <c r="V47" i="17"/>
  <c r="H44" i="17"/>
  <c r="R137" i="143"/>
  <c r="R195" i="143"/>
  <c r="U84" i="17"/>
  <c r="U12" i="143"/>
  <c r="U13" i="143"/>
  <c r="U26" i="143"/>
  <c r="V59" i="17"/>
  <c r="V49" i="17"/>
  <c r="V12" i="143"/>
  <c r="V13" i="143"/>
  <c r="H34" i="17"/>
  <c r="H47" i="17"/>
  <c r="U172" i="143"/>
  <c r="U118" i="143"/>
  <c r="V72" i="17"/>
  <c r="V4" i="66"/>
  <c r="V4" i="151"/>
  <c r="T3" i="143"/>
  <c r="T3" i="151"/>
  <c r="R142" i="143"/>
  <c r="R196" i="143"/>
  <c r="T171" i="143"/>
  <c r="R67" i="143"/>
  <c r="R75" i="143"/>
  <c r="R91" i="143" s="1"/>
  <c r="V4" i="17"/>
  <c r="T3" i="66"/>
  <c r="V4" i="140"/>
  <c r="S32" i="143"/>
  <c r="S65" i="143"/>
  <c r="V4" i="141"/>
  <c r="S34" i="143"/>
  <c r="S30" i="143"/>
  <c r="S63" i="143" s="1"/>
  <c r="S38" i="143"/>
  <c r="V4" i="139"/>
  <c r="V4" i="143"/>
  <c r="V64" i="17"/>
  <c r="V85" i="17"/>
  <c r="S29" i="143"/>
  <c r="S28" i="143"/>
  <c r="S136" i="143"/>
  <c r="S31" i="143"/>
  <c r="T3" i="141"/>
  <c r="T3" i="17"/>
  <c r="T3" i="139"/>
  <c r="T3" i="140"/>
  <c r="U74" i="17"/>
  <c r="U79" i="17"/>
  <c r="U80" i="17"/>
  <c r="H72" i="17"/>
  <c r="H54" i="17"/>
  <c r="H59" i="17"/>
  <c r="H48" i="17"/>
  <c r="T28" i="143"/>
  <c r="T190" i="143" s="1"/>
  <c r="T32" i="143"/>
  <c r="T30" i="143"/>
  <c r="T138" i="143" s="1"/>
  <c r="T31" i="143"/>
  <c r="T33" i="143"/>
  <c r="T29" i="143"/>
  <c r="T34" i="143"/>
  <c r="T42" i="143" s="1"/>
  <c r="U86" i="17"/>
  <c r="H73" i="17"/>
  <c r="H63" i="17"/>
  <c r="V83" i="17"/>
  <c r="H55" i="17"/>
  <c r="H83" i="17"/>
  <c r="F56" i="17"/>
  <c r="F91" i="17"/>
  <c r="S195" i="143"/>
  <c r="S41" i="143"/>
  <c r="S141" i="143"/>
  <c r="S66" i="143"/>
  <c r="V84" i="17"/>
  <c r="V172" i="143"/>
  <c r="V118" i="143"/>
  <c r="F50" i="17"/>
  <c r="F92" i="17"/>
  <c r="H49" i="17"/>
  <c r="U171" i="143"/>
  <c r="U3" i="139"/>
  <c r="U3" i="151"/>
  <c r="H64" i="17"/>
  <c r="H85" i="17"/>
  <c r="S138" i="143"/>
  <c r="S37" i="143"/>
  <c r="F65" i="17"/>
  <c r="F93" i="17"/>
  <c r="S190" i="143"/>
  <c r="S40" i="143"/>
  <c r="S36" i="143"/>
  <c r="S194" i="143"/>
  <c r="S140" i="143"/>
  <c r="S193" i="143"/>
  <c r="S61" i="143"/>
  <c r="U3" i="141"/>
  <c r="U3" i="143"/>
  <c r="U3" i="66"/>
  <c r="U3" i="17"/>
  <c r="U3" i="140"/>
  <c r="V74" i="17"/>
  <c r="V79" i="17"/>
  <c r="V80" i="17"/>
  <c r="V86" i="17"/>
  <c r="H86" i="17"/>
  <c r="T61" i="143"/>
  <c r="T36" i="143"/>
  <c r="T136" i="143"/>
  <c r="T139" i="143"/>
  <c r="T196" i="143"/>
  <c r="T142" i="143"/>
  <c r="T38" i="143"/>
  <c r="T192" i="143"/>
  <c r="H12" i="143"/>
  <c r="H172" i="143"/>
  <c r="H84" i="17"/>
  <c r="H118" i="143"/>
  <c r="T66" i="143"/>
  <c r="T195" i="143"/>
  <c r="T141" i="143"/>
  <c r="T41" i="143"/>
  <c r="U28" i="143"/>
  <c r="U136" i="143" s="1"/>
  <c r="U31" i="143"/>
  <c r="U29" i="143"/>
  <c r="U137" i="143" s="1"/>
  <c r="U32" i="143"/>
  <c r="U40" i="143" s="1"/>
  <c r="U33" i="143"/>
  <c r="U34" i="143"/>
  <c r="U30" i="143"/>
  <c r="U63" i="143" s="1"/>
  <c r="V171" i="143"/>
  <c r="V26" i="143"/>
  <c r="T137" i="143"/>
  <c r="T37" i="143"/>
  <c r="T62" i="143"/>
  <c r="T191" i="143"/>
  <c r="T65" i="143"/>
  <c r="T194" i="143"/>
  <c r="T140" i="143"/>
  <c r="T40" i="143"/>
  <c r="V3" i="140"/>
  <c r="V3" i="151"/>
  <c r="V3" i="143"/>
  <c r="V3" i="141"/>
  <c r="V3" i="139"/>
  <c r="V3" i="17"/>
  <c r="V3" i="66"/>
  <c r="F87" i="17"/>
  <c r="F90" i="17"/>
  <c r="F94" i="17"/>
  <c r="U192" i="143"/>
  <c r="U38" i="143"/>
  <c r="U138" i="143"/>
  <c r="U62" i="143"/>
  <c r="U191" i="143"/>
  <c r="U37" i="143"/>
  <c r="U67" i="143"/>
  <c r="U142" i="143"/>
  <c r="U196" i="143"/>
  <c r="U42" i="143"/>
  <c r="U64" i="143"/>
  <c r="U39" i="143"/>
  <c r="U139" i="143"/>
  <c r="U193" i="143"/>
  <c r="U65" i="143"/>
  <c r="U140" i="143"/>
  <c r="V32" i="143"/>
  <c r="V194" i="143" s="1"/>
  <c r="V29" i="143"/>
  <c r="V62" i="143" s="1"/>
  <c r="V33" i="143"/>
  <c r="V34" i="143"/>
  <c r="V31" i="143"/>
  <c r="V64" i="143" s="1"/>
  <c r="V30" i="143"/>
  <c r="V28" i="143"/>
  <c r="U61" i="143"/>
  <c r="U190" i="143"/>
  <c r="U36" i="143"/>
  <c r="V66" i="143"/>
  <c r="V195" i="143"/>
  <c r="V41" i="143"/>
  <c r="V141" i="143"/>
  <c r="V42" i="143"/>
  <c r="V196" i="143"/>
  <c r="V67" i="143"/>
  <c r="V142" i="143"/>
  <c r="V136" i="143"/>
  <c r="V36" i="143"/>
  <c r="V190" i="143"/>
  <c r="V61" i="143"/>
  <c r="V39" i="143"/>
  <c r="V65" i="143"/>
  <c r="V40" i="143"/>
  <c r="F89" i="141" l="1"/>
  <c r="F21" i="66" s="1"/>
  <c r="R72" i="141"/>
  <c r="R38" i="141"/>
  <c r="R110" i="141" s="1"/>
  <c r="S62" i="143"/>
  <c r="S137" i="143"/>
  <c r="R193" i="143"/>
  <c r="R39" i="143"/>
  <c r="R64" i="143"/>
  <c r="R72" i="143" s="1"/>
  <c r="R88" i="143" s="1"/>
  <c r="H31" i="143"/>
  <c r="R139" i="143"/>
  <c r="Q66" i="143"/>
  <c r="Q141" i="143"/>
  <c r="H33" i="143"/>
  <c r="Q41" i="143"/>
  <c r="Q37" i="143"/>
  <c r="Q62" i="143"/>
  <c r="Q137" i="143"/>
  <c r="P137" i="143"/>
  <c r="P62" i="143"/>
  <c r="P191" i="143"/>
  <c r="V63" i="143"/>
  <c r="V38" i="143"/>
  <c r="V192" i="143"/>
  <c r="V37" i="143"/>
  <c r="V137" i="143"/>
  <c r="V191" i="143"/>
  <c r="U41" i="143"/>
  <c r="U66" i="143"/>
  <c r="U141" i="143"/>
  <c r="S139" i="143"/>
  <c r="S39" i="143"/>
  <c r="S64" i="143"/>
  <c r="R141" i="143"/>
  <c r="R66" i="143"/>
  <c r="R74" i="143" s="1"/>
  <c r="R90" i="143" s="1"/>
  <c r="R41" i="143"/>
  <c r="R38" i="143"/>
  <c r="R138" i="143"/>
  <c r="H30" i="143"/>
  <c r="R192" i="143"/>
  <c r="Q191" i="143"/>
  <c r="V138" i="143"/>
  <c r="T39" i="143"/>
  <c r="T193" i="143"/>
  <c r="T64" i="143"/>
  <c r="R65" i="143"/>
  <c r="R73" i="143" s="1"/>
  <c r="R89" i="143" s="1"/>
  <c r="R140" i="143"/>
  <c r="R194" i="143"/>
  <c r="H32" i="143"/>
  <c r="R40" i="143"/>
  <c r="Q195" i="143"/>
  <c r="H29" i="143"/>
  <c r="U195" i="143"/>
  <c r="S191" i="143"/>
  <c r="S196" i="143"/>
  <c r="S42" i="143"/>
  <c r="F51" i="143" s="1"/>
  <c r="F116" i="143" s="1"/>
  <c r="S142" i="143"/>
  <c r="H34" i="143"/>
  <c r="S67" i="143"/>
  <c r="R63" i="143"/>
  <c r="R71" i="143" s="1"/>
  <c r="R87" i="143" s="1"/>
  <c r="P37" i="143"/>
  <c r="N39" i="143"/>
  <c r="N195" i="143"/>
  <c r="K38" i="143"/>
  <c r="K138" i="143"/>
  <c r="K193" i="143"/>
  <c r="J40" i="143"/>
  <c r="J64" i="143"/>
  <c r="V140" i="143"/>
  <c r="V139" i="143"/>
  <c r="V193" i="143"/>
  <c r="U194" i="143"/>
  <c r="T63" i="143"/>
  <c r="T67" i="143"/>
  <c r="Q67" i="143"/>
  <c r="P192" i="143"/>
  <c r="O40" i="143"/>
  <c r="N63" i="143"/>
  <c r="N64" i="143"/>
  <c r="N66" i="143"/>
  <c r="M196" i="143"/>
  <c r="L40" i="143"/>
  <c r="K62" i="143"/>
  <c r="K67" i="143"/>
  <c r="K39" i="143"/>
  <c r="J65" i="143"/>
  <c r="J193" i="143"/>
  <c r="S192" i="143"/>
  <c r="L38" i="143"/>
  <c r="L194" i="143"/>
  <c r="L65" i="143"/>
  <c r="K37" i="143"/>
  <c r="F46" i="143" s="1"/>
  <c r="F111" i="143" s="1"/>
  <c r="K63" i="143"/>
  <c r="K40" i="143"/>
  <c r="K61" i="143"/>
  <c r="Q190" i="143"/>
  <c r="Q36" i="143"/>
  <c r="O190" i="143"/>
  <c r="L36" i="143"/>
  <c r="J190" i="143"/>
  <c r="H28" i="143"/>
  <c r="K190" i="143"/>
  <c r="K36" i="143"/>
  <c r="F48" i="66"/>
  <c r="F134" i="66" s="1"/>
  <c r="F163" i="66" s="1"/>
  <c r="H15" i="151"/>
  <c r="H19" i="151" s="1"/>
  <c r="J19" i="151"/>
  <c r="H42" i="151"/>
  <c r="H49" i="151" s="1"/>
  <c r="K49" i="151"/>
  <c r="P80" i="141"/>
  <c r="F101" i="66"/>
  <c r="F105" i="66" s="1"/>
  <c r="F144" i="66" s="1"/>
  <c r="F173" i="66" s="1"/>
  <c r="F76" i="66"/>
  <c r="F78" i="66" s="1"/>
  <c r="F141" i="66" s="1"/>
  <c r="F88" i="66"/>
  <c r="F90" i="66" s="1"/>
  <c r="F143" i="66" s="1"/>
  <c r="F172" i="66" s="1"/>
  <c r="T94" i="141"/>
  <c r="P88" i="141"/>
  <c r="T72" i="141"/>
  <c r="T80" i="141" s="1"/>
  <c r="R87" i="141"/>
  <c r="R80" i="141"/>
  <c r="F106" i="66"/>
  <c r="F145" i="66" s="1"/>
  <c r="F174" i="66" s="1"/>
  <c r="U87" i="141"/>
  <c r="F43" i="66"/>
  <c r="F46" i="66" s="1"/>
  <c r="F132" i="66" s="1"/>
  <c r="F161" i="66" s="1"/>
  <c r="F36" i="140" s="1"/>
  <c r="F56" i="147" s="1"/>
  <c r="F13" i="66"/>
  <c r="F57" i="66"/>
  <c r="F68" i="66"/>
  <c r="F70" i="66" s="1"/>
  <c r="F137" i="66" s="1"/>
  <c r="F166" i="66" s="1"/>
  <c r="F116" i="66"/>
  <c r="F103" i="66"/>
  <c r="F108" i="66" s="1"/>
  <c r="F147" i="66" s="1"/>
  <c r="F176" i="66" s="1"/>
  <c r="F23" i="66"/>
  <c r="F126" i="66" s="1"/>
  <c r="F155" i="66" s="1"/>
  <c r="F24" i="66"/>
  <c r="F127" i="66" s="1"/>
  <c r="V80" i="141"/>
  <c r="S80" i="141"/>
  <c r="F32" i="66"/>
  <c r="V38" i="141"/>
  <c r="V110" i="141" s="1"/>
  <c r="U38" i="141"/>
  <c r="U110" i="141" s="1"/>
  <c r="Q38" i="141"/>
  <c r="Q110" i="141" s="1"/>
  <c r="F170" i="66"/>
  <c r="F75" i="151" s="1"/>
  <c r="F175" i="66"/>
  <c r="F156" i="66"/>
  <c r="F171" i="66"/>
  <c r="F50" i="143" l="1"/>
  <c r="F115" i="143" s="1"/>
  <c r="F49" i="143"/>
  <c r="F114" i="143" s="1"/>
  <c r="H63" i="143"/>
  <c r="H138" i="143"/>
  <c r="H38" i="143"/>
  <c r="H192" i="143"/>
  <c r="H67" i="143"/>
  <c r="H142" i="143"/>
  <c r="H196" i="143"/>
  <c r="H42" i="143"/>
  <c r="F48" i="143"/>
  <c r="F113" i="143" s="1"/>
  <c r="H65" i="143"/>
  <c r="H140" i="143"/>
  <c r="H40" i="143"/>
  <c r="H194" i="143"/>
  <c r="H141" i="143"/>
  <c r="H66" i="143"/>
  <c r="H41" i="143"/>
  <c r="H195" i="143"/>
  <c r="H64" i="143"/>
  <c r="H193" i="143"/>
  <c r="H139" i="143"/>
  <c r="H39" i="143"/>
  <c r="F47" i="143"/>
  <c r="F112" i="143" s="1"/>
  <c r="H62" i="143"/>
  <c r="H191" i="143"/>
  <c r="H37" i="143"/>
  <c r="H137" i="143"/>
  <c r="H61" i="143"/>
  <c r="H136" i="143"/>
  <c r="H36" i="143"/>
  <c r="H190" i="143"/>
  <c r="F45" i="143"/>
  <c r="F110" i="143" s="1"/>
  <c r="T87" i="141"/>
  <c r="F47" i="66"/>
  <c r="F133" i="66" s="1"/>
  <c r="F162" i="66" s="1"/>
  <c r="F38" i="140" s="1"/>
  <c r="F58" i="147" s="1"/>
  <c r="F59" i="66"/>
  <c r="F135" i="66" s="1"/>
  <c r="F164" i="66" s="1"/>
  <c r="F201" i="66" s="1"/>
  <c r="F60" i="66"/>
  <c r="F136" i="66" s="1"/>
  <c r="F165" i="66" s="1"/>
  <c r="F100" i="151" s="1"/>
  <c r="F119" i="66"/>
  <c r="F149" i="66" s="1"/>
  <c r="F178" i="66" s="1"/>
  <c r="F227" i="66" s="1"/>
  <c r="F118" i="66"/>
  <c r="F148" i="66" s="1"/>
  <c r="F177" i="66" s="1"/>
  <c r="F226" i="66" s="1"/>
  <c r="F15" i="66"/>
  <c r="F124" i="66" s="1"/>
  <c r="F153" i="66" s="1"/>
  <c r="F17" i="151" s="1"/>
  <c r="F16" i="66"/>
  <c r="F125" i="66" s="1"/>
  <c r="F154" i="66" s="1"/>
  <c r="F185" i="66" s="1"/>
  <c r="F195" i="66"/>
  <c r="F72" i="66"/>
  <c r="F139" i="66" s="1"/>
  <c r="F168" i="66" s="1"/>
  <c r="F74" i="151" s="1"/>
  <c r="F71" i="66"/>
  <c r="F138" i="66" s="1"/>
  <c r="F167" i="66" s="1"/>
  <c r="F73" i="151" s="1"/>
  <c r="F73" i="66"/>
  <c r="F140" i="66" s="1"/>
  <c r="F169" i="66" s="1"/>
  <c r="F44" i="140" s="1"/>
  <c r="F60" i="147" s="1"/>
  <c r="F36" i="66"/>
  <c r="F130" i="66" s="1"/>
  <c r="F159" i="66" s="1"/>
  <c r="F22" i="140" s="1"/>
  <c r="F48" i="147" s="1"/>
  <c r="F35" i="66"/>
  <c r="F129" i="66" s="1"/>
  <c r="F158" i="66" s="1"/>
  <c r="F44" i="151" s="1"/>
  <c r="F34" i="66"/>
  <c r="F128" i="66" s="1"/>
  <c r="F157" i="66" s="1"/>
  <c r="F10" i="140" s="1"/>
  <c r="F39" i="147" s="1"/>
  <c r="F37" i="66"/>
  <c r="F131" i="66" s="1"/>
  <c r="F160" i="66" s="1"/>
  <c r="F41" i="140"/>
  <c r="F59" i="147" s="1"/>
  <c r="F210" i="66"/>
  <c r="F40" i="151"/>
  <c r="F50" i="140"/>
  <c r="F62" i="147" s="1"/>
  <c r="F120" i="151"/>
  <c r="F215" i="66"/>
  <c r="F16" i="140"/>
  <c r="F43" i="147" s="1"/>
  <c r="F99" i="151"/>
  <c r="F14" i="140"/>
  <c r="F41" i="147" s="1"/>
  <c r="F220" i="66"/>
  <c r="F25" i="140"/>
  <c r="F51" i="147" s="1"/>
  <c r="F197" i="66"/>
  <c r="F46" i="151"/>
  <c r="F29" i="140"/>
  <c r="F53" i="147" s="1"/>
  <c r="F11" i="140"/>
  <c r="F40" i="147" s="1"/>
  <c r="F77" i="151"/>
  <c r="F206" i="66"/>
  <c r="F222" i="66"/>
  <c r="F56" i="140"/>
  <c r="F64" i="147" s="1"/>
  <c r="F187" i="66"/>
  <c r="F14" i="151"/>
  <c r="F37" i="140"/>
  <c r="F57" i="147" s="1"/>
  <c r="F35" i="140"/>
  <c r="F55" i="147" s="1"/>
  <c r="F13" i="151"/>
  <c r="F186" i="66"/>
  <c r="F53" i="140"/>
  <c r="F63" i="147" s="1"/>
  <c r="F221" i="66"/>
  <c r="F219" i="66"/>
  <c r="F18" i="140"/>
  <c r="F45" i="147" s="1"/>
  <c r="F47" i="140"/>
  <c r="F61" i="147" s="1"/>
  <c r="F119" i="151"/>
  <c r="F214" i="66"/>
  <c r="F17" i="140"/>
  <c r="F44" i="147" s="1"/>
  <c r="F209" i="66" l="1"/>
  <c r="F184" i="66"/>
  <c r="F196" i="66"/>
  <c r="F41" i="151"/>
  <c r="F42" i="151" s="1"/>
  <c r="F49" i="151" s="1"/>
  <c r="F26" i="140"/>
  <c r="F52" i="147" s="1"/>
  <c r="F202" i="66"/>
  <c r="F76" i="151"/>
  <c r="F21" i="140"/>
  <c r="F47" i="147" s="1"/>
  <c r="F207" i="66"/>
  <c r="F23" i="140"/>
  <c r="F49" i="147" s="1"/>
  <c r="F18" i="151"/>
  <c r="F208" i="66"/>
  <c r="F191" i="66"/>
  <c r="F48" i="151"/>
  <c r="F228" i="66"/>
  <c r="F159" i="143" s="1"/>
  <c r="F19" i="140"/>
  <c r="F46" i="147" s="1"/>
  <c r="F24" i="140"/>
  <c r="F50" i="147" s="1"/>
  <c r="F15" i="140"/>
  <c r="F42" i="147" s="1"/>
  <c r="F32" i="140"/>
  <c r="F54" i="147" s="1"/>
  <c r="F194" i="66"/>
  <c r="F47" i="151"/>
  <c r="F192" i="66"/>
  <c r="F193" i="66"/>
  <c r="F45" i="151"/>
  <c r="F216" i="66"/>
  <c r="F81" i="143" s="1"/>
  <c r="F188" i="66"/>
  <c r="F9" i="151" s="1"/>
  <c r="F15" i="151"/>
  <c r="F19" i="151" s="1"/>
  <c r="F223" i="66"/>
  <c r="F82" i="143" s="1"/>
  <c r="F203" i="66"/>
  <c r="F77" i="143"/>
  <c r="F83" i="143"/>
  <c r="F211" i="66" l="1"/>
  <c r="F108" i="143"/>
  <c r="S126" i="143" s="1"/>
  <c r="S134" i="143" s="1"/>
  <c r="F67" i="140"/>
  <c r="F71" i="147" s="1"/>
  <c r="F198" i="66"/>
  <c r="F78" i="143" s="1"/>
  <c r="F106" i="143"/>
  <c r="Q124" i="143" s="1"/>
  <c r="Q132" i="143" s="1"/>
  <c r="F157" i="143"/>
  <c r="L178" i="143" s="1"/>
  <c r="L186" i="143" s="1"/>
  <c r="J180" i="143"/>
  <c r="N180" i="143"/>
  <c r="N188" i="143" s="1"/>
  <c r="R180" i="143"/>
  <c r="R188" i="143" s="1"/>
  <c r="K180" i="143"/>
  <c r="K188" i="143" s="1"/>
  <c r="P180" i="143"/>
  <c r="P188" i="143" s="1"/>
  <c r="S180" i="143"/>
  <c r="S188" i="143" s="1"/>
  <c r="L180" i="143"/>
  <c r="L188" i="143" s="1"/>
  <c r="U180" i="143"/>
  <c r="U188" i="143" s="1"/>
  <c r="M180" i="143"/>
  <c r="M188" i="143" s="1"/>
  <c r="O180" i="143"/>
  <c r="O188" i="143" s="1"/>
  <c r="Q180" i="143"/>
  <c r="Q188" i="143" s="1"/>
  <c r="V180" i="143"/>
  <c r="V188" i="143" s="1"/>
  <c r="T180" i="143"/>
  <c r="T188" i="143" s="1"/>
  <c r="F102" i="143"/>
  <c r="K120" i="143" s="1"/>
  <c r="K128" i="143" s="1"/>
  <c r="F65" i="140"/>
  <c r="F69" i="147" s="1"/>
  <c r="F61" i="140"/>
  <c r="F65" i="147" s="1"/>
  <c r="F115" i="151"/>
  <c r="F153" i="143"/>
  <c r="F107" i="143"/>
  <c r="T125" i="143" s="1"/>
  <c r="T133" i="143" s="1"/>
  <c r="F158" i="143"/>
  <c r="F66" i="140"/>
  <c r="F70" i="147" s="1"/>
  <c r="F79" i="143"/>
  <c r="F95" i="151"/>
  <c r="F63" i="140"/>
  <c r="F67" i="147" s="1"/>
  <c r="F155" i="143"/>
  <c r="F104" i="143"/>
  <c r="V97" i="143"/>
  <c r="V221" i="143" s="1"/>
  <c r="V245" i="143" s="1"/>
  <c r="M97" i="143"/>
  <c r="M221" i="143" s="1"/>
  <c r="M245" i="143" s="1"/>
  <c r="Q97" i="143"/>
  <c r="Q221" i="143" s="1"/>
  <c r="Q245" i="143" s="1"/>
  <c r="R97" i="143"/>
  <c r="R221" i="143" s="1"/>
  <c r="R245" i="143" s="1"/>
  <c r="L97" i="143"/>
  <c r="L221" i="143" s="1"/>
  <c r="L245" i="143" s="1"/>
  <c r="U97" i="143"/>
  <c r="U221" i="143" s="1"/>
  <c r="U245" i="143" s="1"/>
  <c r="K97" i="143"/>
  <c r="K221" i="143" s="1"/>
  <c r="K245" i="143" s="1"/>
  <c r="O97" i="143"/>
  <c r="O221" i="143" s="1"/>
  <c r="O245" i="143" s="1"/>
  <c r="P97" i="143"/>
  <c r="P221" i="143" s="1"/>
  <c r="P245" i="143" s="1"/>
  <c r="N97" i="143"/>
  <c r="N221" i="143" s="1"/>
  <c r="N245" i="143" s="1"/>
  <c r="T97" i="143"/>
  <c r="T221" i="143" s="1"/>
  <c r="T245" i="143" s="1"/>
  <c r="J97" i="143"/>
  <c r="S97" i="143"/>
  <c r="S221" i="143" s="1"/>
  <c r="S245" i="143" s="1"/>
  <c r="F69" i="151"/>
  <c r="F80" i="143"/>
  <c r="F105" i="143"/>
  <c r="F64" i="140"/>
  <c r="F68" i="147" s="1"/>
  <c r="F156" i="143"/>
  <c r="K99" i="143"/>
  <c r="K223" i="143" s="1"/>
  <c r="K247" i="143" s="1"/>
  <c r="V99" i="143"/>
  <c r="V223" i="143" s="1"/>
  <c r="V247" i="143" s="1"/>
  <c r="U99" i="143"/>
  <c r="U223" i="143" s="1"/>
  <c r="U247" i="143" s="1"/>
  <c r="T99" i="143"/>
  <c r="T223" i="143" s="1"/>
  <c r="T247" i="143" s="1"/>
  <c r="R99" i="143"/>
  <c r="R223" i="143" s="1"/>
  <c r="R247" i="143" s="1"/>
  <c r="P99" i="143"/>
  <c r="P223" i="143" s="1"/>
  <c r="P247" i="143" s="1"/>
  <c r="J99" i="143"/>
  <c r="M99" i="143"/>
  <c r="M223" i="143" s="1"/>
  <c r="M247" i="143" s="1"/>
  <c r="N99" i="143"/>
  <c r="N223" i="143" s="1"/>
  <c r="N247" i="143" s="1"/>
  <c r="Q99" i="143"/>
  <c r="Q223" i="143" s="1"/>
  <c r="Q247" i="143" s="1"/>
  <c r="O99" i="143"/>
  <c r="O223" i="143" s="1"/>
  <c r="O247" i="143" s="1"/>
  <c r="L99" i="143"/>
  <c r="L223" i="143" s="1"/>
  <c r="L247" i="143" s="1"/>
  <c r="S99" i="143"/>
  <c r="S223" i="143" s="1"/>
  <c r="S247" i="143" s="1"/>
  <c r="V98" i="143"/>
  <c r="V222" i="143" s="1"/>
  <c r="L98" i="143"/>
  <c r="L222" i="143" s="1"/>
  <c r="Q98" i="143"/>
  <c r="Q222" i="143" s="1"/>
  <c r="U98" i="143"/>
  <c r="U222" i="143" s="1"/>
  <c r="T98" i="143"/>
  <c r="T222" i="143" s="1"/>
  <c r="P98" i="143"/>
  <c r="P222" i="143" s="1"/>
  <c r="O98" i="143"/>
  <c r="O222" i="143" s="1"/>
  <c r="J98" i="143"/>
  <c r="M98" i="143"/>
  <c r="M222" i="143" s="1"/>
  <c r="S98" i="143"/>
  <c r="S222" i="143" s="1"/>
  <c r="N98" i="143"/>
  <c r="N222" i="143" s="1"/>
  <c r="K98" i="143"/>
  <c r="K222" i="143" s="1"/>
  <c r="R98" i="143"/>
  <c r="R222" i="143" s="1"/>
  <c r="V124" i="143"/>
  <c r="V132" i="143" s="1"/>
  <c r="T126" i="143"/>
  <c r="T134" i="143" s="1"/>
  <c r="L126" i="143"/>
  <c r="L134" i="143" s="1"/>
  <c r="R126" i="143"/>
  <c r="R134" i="143" s="1"/>
  <c r="O126" i="143"/>
  <c r="O134" i="143" s="1"/>
  <c r="U126" i="143"/>
  <c r="U134" i="143" s="1"/>
  <c r="K126" i="143"/>
  <c r="K134" i="143" s="1"/>
  <c r="V93" i="143"/>
  <c r="V217" i="143" s="1"/>
  <c r="R93" i="143"/>
  <c r="R217" i="143" s="1"/>
  <c r="T93" i="143"/>
  <c r="T217" i="143" s="1"/>
  <c r="J93" i="143"/>
  <c r="O93" i="143"/>
  <c r="O217" i="143" s="1"/>
  <c r="N93" i="143"/>
  <c r="N217" i="143" s="1"/>
  <c r="M93" i="143"/>
  <c r="M217" i="143" s="1"/>
  <c r="K93" i="143"/>
  <c r="K217" i="143" s="1"/>
  <c r="Q93" i="143"/>
  <c r="Q217" i="143" s="1"/>
  <c r="P93" i="143"/>
  <c r="P217" i="143" s="1"/>
  <c r="U93" i="143"/>
  <c r="U217" i="143" s="1"/>
  <c r="S93" i="143"/>
  <c r="S217" i="143" s="1"/>
  <c r="L93" i="143"/>
  <c r="L217" i="143" s="1"/>
  <c r="V126" i="143" l="1"/>
  <c r="V134" i="143" s="1"/>
  <c r="N126" i="143"/>
  <c r="N134" i="143" s="1"/>
  <c r="Q126" i="143"/>
  <c r="Q134" i="143" s="1"/>
  <c r="J126" i="143"/>
  <c r="J134" i="143" s="1"/>
  <c r="P124" i="143"/>
  <c r="P132" i="143" s="1"/>
  <c r="T124" i="143"/>
  <c r="T132" i="143" s="1"/>
  <c r="R125" i="143"/>
  <c r="R133" i="143" s="1"/>
  <c r="R230" i="143" s="1"/>
  <c r="P125" i="143"/>
  <c r="P133" i="143" s="1"/>
  <c r="P149" i="143" s="1"/>
  <c r="M125" i="143"/>
  <c r="M133" i="143" s="1"/>
  <c r="M149" i="143" s="1"/>
  <c r="Q125" i="143"/>
  <c r="Q133" i="143" s="1"/>
  <c r="Q230" i="143" s="1"/>
  <c r="F36" i="151"/>
  <c r="U124" i="143"/>
  <c r="U132" i="143" s="1"/>
  <c r="U229" i="143" s="1"/>
  <c r="R124" i="143"/>
  <c r="R132" i="143" s="1"/>
  <c r="K125" i="143"/>
  <c r="K133" i="143" s="1"/>
  <c r="K149" i="143" s="1"/>
  <c r="M126" i="143"/>
  <c r="M134" i="143" s="1"/>
  <c r="M150" i="143" s="1"/>
  <c r="P126" i="143"/>
  <c r="P134" i="143" s="1"/>
  <c r="P231" i="143" s="1"/>
  <c r="N124" i="143"/>
  <c r="N132" i="143" s="1"/>
  <c r="O124" i="143"/>
  <c r="O132" i="143" s="1"/>
  <c r="O229" i="143" s="1"/>
  <c r="F62" i="140"/>
  <c r="F66" i="147" s="1"/>
  <c r="T120" i="143"/>
  <c r="T128" i="143" s="1"/>
  <c r="T225" i="143" s="1"/>
  <c r="V178" i="143"/>
  <c r="V186" i="143" s="1"/>
  <c r="F103" i="143"/>
  <c r="L121" i="143" s="1"/>
  <c r="L129" i="143" s="1"/>
  <c r="Q120" i="143"/>
  <c r="Q128" i="143" s="1"/>
  <c r="Q144" i="143" s="1"/>
  <c r="S120" i="143"/>
  <c r="S128" i="143" s="1"/>
  <c r="S144" i="143" s="1"/>
  <c r="J120" i="143"/>
  <c r="L125" i="143"/>
  <c r="L133" i="143" s="1"/>
  <c r="L230" i="143" s="1"/>
  <c r="U125" i="143"/>
  <c r="U133" i="143" s="1"/>
  <c r="U230" i="143" s="1"/>
  <c r="L124" i="143"/>
  <c r="L132" i="143" s="1"/>
  <c r="L148" i="143" s="1"/>
  <c r="M124" i="143"/>
  <c r="M132" i="143" s="1"/>
  <c r="S124" i="143"/>
  <c r="S132" i="143" s="1"/>
  <c r="S148" i="143" s="1"/>
  <c r="O178" i="143"/>
  <c r="O186" i="143" s="1"/>
  <c r="O237" i="143" s="1"/>
  <c r="F154" i="143"/>
  <c r="R175" i="143" s="1"/>
  <c r="R183" i="143" s="1"/>
  <c r="N178" i="143"/>
  <c r="N186" i="143" s="1"/>
  <c r="N202" i="143" s="1"/>
  <c r="U120" i="143"/>
  <c r="U128" i="143" s="1"/>
  <c r="V125" i="143"/>
  <c r="V133" i="143" s="1"/>
  <c r="V230" i="143" s="1"/>
  <c r="N125" i="143"/>
  <c r="N133" i="143" s="1"/>
  <c r="N230" i="143" s="1"/>
  <c r="J124" i="143"/>
  <c r="K124" i="143"/>
  <c r="K132" i="143" s="1"/>
  <c r="K148" i="143" s="1"/>
  <c r="S178" i="143"/>
  <c r="S186" i="143" s="1"/>
  <c r="S237" i="143" s="1"/>
  <c r="M178" i="143"/>
  <c r="M186" i="143" s="1"/>
  <c r="M237" i="143" s="1"/>
  <c r="R178" i="143"/>
  <c r="R186" i="143" s="1"/>
  <c r="R202" i="143" s="1"/>
  <c r="K94" i="143"/>
  <c r="K218" i="143" s="1"/>
  <c r="T94" i="143"/>
  <c r="T218" i="143" s="1"/>
  <c r="L94" i="143"/>
  <c r="L218" i="143" s="1"/>
  <c r="V94" i="143"/>
  <c r="V218" i="143" s="1"/>
  <c r="S94" i="143"/>
  <c r="S218" i="143" s="1"/>
  <c r="M94" i="143"/>
  <c r="M218" i="143" s="1"/>
  <c r="J94" i="143"/>
  <c r="U94" i="143"/>
  <c r="U218" i="143" s="1"/>
  <c r="Q94" i="143"/>
  <c r="Q218" i="143" s="1"/>
  <c r="O94" i="143"/>
  <c r="O218" i="143" s="1"/>
  <c r="N94" i="143"/>
  <c r="N218" i="143" s="1"/>
  <c r="R94" i="143"/>
  <c r="R218" i="143" s="1"/>
  <c r="P94" i="143"/>
  <c r="P218" i="143" s="1"/>
  <c r="P120" i="143"/>
  <c r="P128" i="143" s="1"/>
  <c r="P144" i="143" s="1"/>
  <c r="R120" i="143"/>
  <c r="R128" i="143" s="1"/>
  <c r="R144" i="143" s="1"/>
  <c r="M120" i="143"/>
  <c r="M128" i="143" s="1"/>
  <c r="J178" i="143"/>
  <c r="J186" i="143" s="1"/>
  <c r="T178" i="143"/>
  <c r="T186" i="143" s="1"/>
  <c r="T202" i="143" s="1"/>
  <c r="P178" i="143"/>
  <c r="P186" i="143" s="1"/>
  <c r="P237" i="143" s="1"/>
  <c r="O120" i="143"/>
  <c r="O128" i="143" s="1"/>
  <c r="O225" i="143" s="1"/>
  <c r="L120" i="143"/>
  <c r="L128" i="143" s="1"/>
  <c r="L225" i="143" s="1"/>
  <c r="U178" i="143"/>
  <c r="U186" i="143" s="1"/>
  <c r="U202" i="143" s="1"/>
  <c r="K178" i="143"/>
  <c r="K186" i="143" s="1"/>
  <c r="K202" i="143" s="1"/>
  <c r="Q178" i="143"/>
  <c r="Q186" i="143" s="1"/>
  <c r="Q202" i="143" s="1"/>
  <c r="V177" i="143"/>
  <c r="V185" i="143" s="1"/>
  <c r="N177" i="143"/>
  <c r="N185" i="143" s="1"/>
  <c r="K177" i="143"/>
  <c r="K185" i="143" s="1"/>
  <c r="O177" i="143"/>
  <c r="O185" i="143" s="1"/>
  <c r="S177" i="143"/>
  <c r="S185" i="143" s="1"/>
  <c r="P177" i="143"/>
  <c r="P185" i="143" s="1"/>
  <c r="Q177" i="143"/>
  <c r="Q185" i="143" s="1"/>
  <c r="L177" i="143"/>
  <c r="L185" i="143" s="1"/>
  <c r="T177" i="143"/>
  <c r="T185" i="143" s="1"/>
  <c r="U177" i="143"/>
  <c r="U185" i="143" s="1"/>
  <c r="J177" i="143"/>
  <c r="M177" i="143"/>
  <c r="M185" i="143" s="1"/>
  <c r="R177" i="143"/>
  <c r="R185" i="143" s="1"/>
  <c r="K176" i="143"/>
  <c r="K184" i="143" s="1"/>
  <c r="L176" i="143"/>
  <c r="L184" i="143" s="1"/>
  <c r="P176" i="143"/>
  <c r="P184" i="143" s="1"/>
  <c r="S176" i="143"/>
  <c r="S184" i="143" s="1"/>
  <c r="T176" i="143"/>
  <c r="T184" i="143" s="1"/>
  <c r="V176" i="143"/>
  <c r="V184" i="143" s="1"/>
  <c r="Q176" i="143"/>
  <c r="Q184" i="143" s="1"/>
  <c r="R176" i="143"/>
  <c r="R184" i="143" s="1"/>
  <c r="M176" i="143"/>
  <c r="M184" i="143" s="1"/>
  <c r="N176" i="143"/>
  <c r="N184" i="143" s="1"/>
  <c r="U176" i="143"/>
  <c r="U184" i="143" s="1"/>
  <c r="J176" i="143"/>
  <c r="O176" i="143"/>
  <c r="O184" i="143" s="1"/>
  <c r="O204" i="143"/>
  <c r="O239" i="143"/>
  <c r="S204" i="143"/>
  <c r="S239" i="143"/>
  <c r="N239" i="143"/>
  <c r="N204" i="143"/>
  <c r="O202" i="143"/>
  <c r="N237" i="143"/>
  <c r="V120" i="143"/>
  <c r="V128" i="143" s="1"/>
  <c r="V225" i="143" s="1"/>
  <c r="N120" i="143"/>
  <c r="N128" i="143" s="1"/>
  <c r="N144" i="143" s="1"/>
  <c r="J125" i="143"/>
  <c r="J133" i="143" s="1"/>
  <c r="O125" i="143"/>
  <c r="O133" i="143" s="1"/>
  <c r="O230" i="143" s="1"/>
  <c r="S125" i="143"/>
  <c r="S133" i="143" s="1"/>
  <c r="S230" i="143" s="1"/>
  <c r="T204" i="143"/>
  <c r="T239" i="143"/>
  <c r="M239" i="143"/>
  <c r="M204" i="143"/>
  <c r="P239" i="143"/>
  <c r="P204" i="143"/>
  <c r="J188" i="143"/>
  <c r="H180" i="143"/>
  <c r="H188" i="143" s="1"/>
  <c r="H239" i="143" s="1"/>
  <c r="N174" i="143"/>
  <c r="N182" i="143" s="1"/>
  <c r="J174" i="143"/>
  <c r="O174" i="143"/>
  <c r="O182" i="143" s="1"/>
  <c r="R174" i="143"/>
  <c r="R182" i="143" s="1"/>
  <c r="V174" i="143"/>
  <c r="V182" i="143" s="1"/>
  <c r="L174" i="143"/>
  <c r="L182" i="143" s="1"/>
  <c r="S174" i="143"/>
  <c r="S182" i="143" s="1"/>
  <c r="P174" i="143"/>
  <c r="P182" i="143" s="1"/>
  <c r="K174" i="143"/>
  <c r="K182" i="143" s="1"/>
  <c r="U174" i="143"/>
  <c r="U182" i="143" s="1"/>
  <c r="T174" i="143"/>
  <c r="T182" i="143" s="1"/>
  <c r="Q174" i="143"/>
  <c r="Q182" i="143" s="1"/>
  <c r="M174" i="143"/>
  <c r="M182" i="143" s="1"/>
  <c r="V239" i="143"/>
  <c r="V204" i="143"/>
  <c r="U204" i="143"/>
  <c r="U239" i="143"/>
  <c r="K239" i="143"/>
  <c r="K204" i="143"/>
  <c r="L237" i="143"/>
  <c r="L202" i="143"/>
  <c r="Q239" i="143"/>
  <c r="Q204" i="143"/>
  <c r="L239" i="143"/>
  <c r="L204" i="143"/>
  <c r="R239" i="143"/>
  <c r="R204" i="143"/>
  <c r="V202" i="143"/>
  <c r="V237" i="143"/>
  <c r="R237" i="143"/>
  <c r="K179" i="143"/>
  <c r="K187" i="143" s="1"/>
  <c r="N179" i="143"/>
  <c r="N187" i="143" s="1"/>
  <c r="Q179" i="143"/>
  <c r="Q187" i="143" s="1"/>
  <c r="U179" i="143"/>
  <c r="U187" i="143" s="1"/>
  <c r="M179" i="143"/>
  <c r="M187" i="143" s="1"/>
  <c r="T179" i="143"/>
  <c r="T187" i="143" s="1"/>
  <c r="V179" i="143"/>
  <c r="V187" i="143" s="1"/>
  <c r="J179" i="143"/>
  <c r="R179" i="143"/>
  <c r="R187" i="143" s="1"/>
  <c r="O179" i="143"/>
  <c r="O187" i="143" s="1"/>
  <c r="L179" i="143"/>
  <c r="L187" i="143" s="1"/>
  <c r="P179" i="143"/>
  <c r="P187" i="143" s="1"/>
  <c r="S179" i="143"/>
  <c r="S187" i="143" s="1"/>
  <c r="N122" i="143"/>
  <c r="N130" i="143" s="1"/>
  <c r="K122" i="143"/>
  <c r="K130" i="143" s="1"/>
  <c r="Q122" i="143"/>
  <c r="Q130" i="143" s="1"/>
  <c r="U122" i="143"/>
  <c r="U130" i="143" s="1"/>
  <c r="R122" i="143"/>
  <c r="R130" i="143" s="1"/>
  <c r="M122" i="143"/>
  <c r="M130" i="143" s="1"/>
  <c r="O122" i="143"/>
  <c r="O130" i="143" s="1"/>
  <c r="L122" i="143"/>
  <c r="L130" i="143" s="1"/>
  <c r="V122" i="143"/>
  <c r="V130" i="143" s="1"/>
  <c r="T122" i="143"/>
  <c r="T130" i="143" s="1"/>
  <c r="P122" i="143"/>
  <c r="P130" i="143" s="1"/>
  <c r="J122" i="143"/>
  <c r="S122" i="143"/>
  <c r="S130" i="143" s="1"/>
  <c r="L95" i="143"/>
  <c r="L219" i="143" s="1"/>
  <c r="L243" i="143" s="1"/>
  <c r="U95" i="143"/>
  <c r="U219" i="143" s="1"/>
  <c r="U243" i="143" s="1"/>
  <c r="Q95" i="143"/>
  <c r="Q219" i="143" s="1"/>
  <c r="Q243" i="143" s="1"/>
  <c r="T95" i="143"/>
  <c r="T219" i="143" s="1"/>
  <c r="T243" i="143" s="1"/>
  <c r="J95" i="143"/>
  <c r="R95" i="143"/>
  <c r="R219" i="143" s="1"/>
  <c r="R243" i="143" s="1"/>
  <c r="M95" i="143"/>
  <c r="M219" i="143" s="1"/>
  <c r="M243" i="143" s="1"/>
  <c r="K95" i="143"/>
  <c r="K219" i="143" s="1"/>
  <c r="K243" i="143" s="1"/>
  <c r="P95" i="143"/>
  <c r="P219" i="143" s="1"/>
  <c r="P243" i="143" s="1"/>
  <c r="V95" i="143"/>
  <c r="V219" i="143" s="1"/>
  <c r="V243" i="143" s="1"/>
  <c r="S95" i="143"/>
  <c r="S219" i="143" s="1"/>
  <c r="S243" i="143" s="1"/>
  <c r="N95" i="143"/>
  <c r="N219" i="143" s="1"/>
  <c r="N243" i="143" s="1"/>
  <c r="O95" i="143"/>
  <c r="O219" i="143" s="1"/>
  <c r="O243" i="143" s="1"/>
  <c r="J128" i="143"/>
  <c r="M230" i="143"/>
  <c r="V231" i="143"/>
  <c r="V150" i="143"/>
  <c r="O150" i="143"/>
  <c r="O231" i="143"/>
  <c r="N231" i="143"/>
  <c r="N150" i="143"/>
  <c r="P229" i="143"/>
  <c r="P148" i="143"/>
  <c r="R148" i="143"/>
  <c r="R229" i="143"/>
  <c r="V148" i="143"/>
  <c r="V229" i="143"/>
  <c r="Q135" i="151"/>
  <c r="Q78" i="140"/>
  <c r="P135" i="151"/>
  <c r="P78" i="140"/>
  <c r="V135" i="151"/>
  <c r="V78" i="140"/>
  <c r="K78" i="147" s="1"/>
  <c r="N76" i="140"/>
  <c r="N116" i="151"/>
  <c r="U76" i="140"/>
  <c r="J76" i="147" s="1"/>
  <c r="U116" i="151"/>
  <c r="M76" i="140"/>
  <c r="M116" i="151"/>
  <c r="T230" i="143"/>
  <c r="T149" i="143"/>
  <c r="S150" i="143"/>
  <c r="S231" i="143"/>
  <c r="J132" i="143"/>
  <c r="K229" i="143"/>
  <c r="Q148" i="143"/>
  <c r="Q229" i="143"/>
  <c r="S135" i="151"/>
  <c r="S78" i="140"/>
  <c r="H78" i="147" s="1"/>
  <c r="N135" i="151"/>
  <c r="N78" i="140"/>
  <c r="R135" i="151"/>
  <c r="R78" i="140"/>
  <c r="G78" i="147" s="1"/>
  <c r="K78" i="140"/>
  <c r="K135" i="151"/>
  <c r="S76" i="140"/>
  <c r="H76" i="147" s="1"/>
  <c r="S116" i="151"/>
  <c r="P76" i="140"/>
  <c r="P116" i="151"/>
  <c r="L76" i="140"/>
  <c r="L116" i="151"/>
  <c r="V116" i="151"/>
  <c r="V76" i="140"/>
  <c r="K76" i="147" s="1"/>
  <c r="K225" i="143"/>
  <c r="K144" i="143"/>
  <c r="J217" i="143"/>
  <c r="H93" i="143"/>
  <c r="H217" i="143" s="1"/>
  <c r="Q150" i="143"/>
  <c r="Q231" i="143"/>
  <c r="R150" i="143"/>
  <c r="R231" i="143"/>
  <c r="L150" i="143"/>
  <c r="L231" i="143"/>
  <c r="N229" i="143"/>
  <c r="N148" i="143"/>
  <c r="T229" i="143"/>
  <c r="T148" i="143"/>
  <c r="H98" i="143"/>
  <c r="H222" i="143" s="1"/>
  <c r="J222" i="143"/>
  <c r="L135" i="151"/>
  <c r="L78" i="140"/>
  <c r="M78" i="140"/>
  <c r="M135" i="151"/>
  <c r="T135" i="151"/>
  <c r="T78" i="140"/>
  <c r="I78" i="147" s="1"/>
  <c r="U123" i="143"/>
  <c r="U131" i="143" s="1"/>
  <c r="O123" i="143"/>
  <c r="O131" i="143" s="1"/>
  <c r="S123" i="143"/>
  <c r="S131" i="143" s="1"/>
  <c r="P123" i="143"/>
  <c r="P131" i="143" s="1"/>
  <c r="M123" i="143"/>
  <c r="M131" i="143" s="1"/>
  <c r="R123" i="143"/>
  <c r="R131" i="143" s="1"/>
  <c r="T123" i="143"/>
  <c r="T131" i="143" s="1"/>
  <c r="L123" i="143"/>
  <c r="L131" i="143" s="1"/>
  <c r="V123" i="143"/>
  <c r="V131" i="143" s="1"/>
  <c r="K123" i="143"/>
  <c r="K131" i="143" s="1"/>
  <c r="N123" i="143"/>
  <c r="N131" i="143" s="1"/>
  <c r="J123" i="143"/>
  <c r="Q123" i="143"/>
  <c r="Q131" i="143" s="1"/>
  <c r="J221" i="143"/>
  <c r="J245" i="143" s="1"/>
  <c r="H97" i="143"/>
  <c r="H221" i="143" s="1"/>
  <c r="O76" i="140"/>
  <c r="O116" i="151"/>
  <c r="R76" i="140"/>
  <c r="G76" i="147" s="1"/>
  <c r="R116" i="151"/>
  <c r="Q225" i="143"/>
  <c r="U225" i="143"/>
  <c r="U144" i="143"/>
  <c r="M225" i="143"/>
  <c r="M144" i="143"/>
  <c r="K150" i="143"/>
  <c r="K231" i="143"/>
  <c r="U231" i="143"/>
  <c r="U150" i="143"/>
  <c r="T150" i="143"/>
  <c r="T231" i="143"/>
  <c r="M148" i="143"/>
  <c r="M229" i="143"/>
  <c r="O78" i="140"/>
  <c r="O135" i="151"/>
  <c r="H99" i="143"/>
  <c r="H223" i="143" s="1"/>
  <c r="J223" i="143"/>
  <c r="J247" i="143" s="1"/>
  <c r="U135" i="151"/>
  <c r="U78" i="140"/>
  <c r="J78" i="147" s="1"/>
  <c r="O96" i="143"/>
  <c r="O220" i="143" s="1"/>
  <c r="O244" i="143" s="1"/>
  <c r="K96" i="143"/>
  <c r="K220" i="143" s="1"/>
  <c r="K244" i="143" s="1"/>
  <c r="M96" i="143"/>
  <c r="M220" i="143" s="1"/>
  <c r="M244" i="143" s="1"/>
  <c r="R96" i="143"/>
  <c r="R220" i="143" s="1"/>
  <c r="R244" i="143" s="1"/>
  <c r="P96" i="143"/>
  <c r="P220" i="143" s="1"/>
  <c r="P244" i="143" s="1"/>
  <c r="T96" i="143"/>
  <c r="T220" i="143" s="1"/>
  <c r="T244" i="143" s="1"/>
  <c r="U96" i="143"/>
  <c r="U220" i="143" s="1"/>
  <c r="U244" i="143" s="1"/>
  <c r="V96" i="143"/>
  <c r="V220" i="143" s="1"/>
  <c r="V244" i="143" s="1"/>
  <c r="S96" i="143"/>
  <c r="S220" i="143" s="1"/>
  <c r="S244" i="143" s="1"/>
  <c r="J96" i="143"/>
  <c r="Q96" i="143"/>
  <c r="Q220" i="143" s="1"/>
  <c r="Q244" i="143" s="1"/>
  <c r="N96" i="143"/>
  <c r="N220" i="143" s="1"/>
  <c r="N244" i="143" s="1"/>
  <c r="L96" i="143"/>
  <c r="L220" i="143" s="1"/>
  <c r="L244" i="143" s="1"/>
  <c r="T76" i="140"/>
  <c r="I76" i="147" s="1"/>
  <c r="T116" i="151"/>
  <c r="K76" i="140"/>
  <c r="K116" i="151"/>
  <c r="Q76" i="140"/>
  <c r="Q116" i="151"/>
  <c r="U148" i="143" l="1"/>
  <c r="R149" i="143"/>
  <c r="P150" i="143"/>
  <c r="S225" i="143"/>
  <c r="P230" i="143"/>
  <c r="S202" i="143"/>
  <c r="H126" i="143"/>
  <c r="H134" i="143" s="1"/>
  <c r="H231" i="143" s="1"/>
  <c r="T144" i="143"/>
  <c r="K237" i="143"/>
  <c r="P202" i="143"/>
  <c r="O148" i="143"/>
  <c r="V149" i="143"/>
  <c r="M231" i="143"/>
  <c r="U149" i="143"/>
  <c r="L144" i="143"/>
  <c r="P225" i="143"/>
  <c r="U237" i="143"/>
  <c r="O149" i="143"/>
  <c r="K230" i="143"/>
  <c r="Q149" i="143"/>
  <c r="O121" i="143"/>
  <c r="O129" i="143" s="1"/>
  <c r="O226" i="143" s="1"/>
  <c r="R199" i="143"/>
  <c r="R234" i="143"/>
  <c r="R242" i="143" s="1"/>
  <c r="R73" i="140" s="1"/>
  <c r="G73" i="147" s="1"/>
  <c r="P121" i="143"/>
  <c r="P129" i="143" s="1"/>
  <c r="M121" i="143"/>
  <c r="M129" i="143" s="1"/>
  <c r="M145" i="143" s="1"/>
  <c r="N149" i="143"/>
  <c r="N225" i="143"/>
  <c r="S229" i="143"/>
  <c r="M202" i="143"/>
  <c r="H124" i="143"/>
  <c r="H132" i="143" s="1"/>
  <c r="H229" i="143" s="1"/>
  <c r="S121" i="143"/>
  <c r="S129" i="143" s="1"/>
  <c r="S145" i="143" s="1"/>
  <c r="L145" i="143"/>
  <c r="L226" i="143"/>
  <c r="L229" i="143"/>
  <c r="S226" i="143"/>
  <c r="T121" i="143"/>
  <c r="T129" i="143" s="1"/>
  <c r="T145" i="143" s="1"/>
  <c r="V121" i="143"/>
  <c r="V129" i="143" s="1"/>
  <c r="Q121" i="143"/>
  <c r="Q129" i="143" s="1"/>
  <c r="R121" i="143"/>
  <c r="R129" i="143" s="1"/>
  <c r="J121" i="143"/>
  <c r="U121" i="143"/>
  <c r="U129" i="143" s="1"/>
  <c r="S149" i="143"/>
  <c r="K121" i="143"/>
  <c r="K129" i="143" s="1"/>
  <c r="K145" i="143" s="1"/>
  <c r="N121" i="143"/>
  <c r="N129" i="143" s="1"/>
  <c r="N226" i="143" s="1"/>
  <c r="O175" i="143"/>
  <c r="O183" i="143" s="1"/>
  <c r="P175" i="143"/>
  <c r="P183" i="143" s="1"/>
  <c r="N175" i="143"/>
  <c r="N183" i="143" s="1"/>
  <c r="T175" i="143"/>
  <c r="T183" i="143" s="1"/>
  <c r="K175" i="143"/>
  <c r="K183" i="143" s="1"/>
  <c r="Q175" i="143"/>
  <c r="Q183" i="143" s="1"/>
  <c r="L175" i="143"/>
  <c r="L183" i="143" s="1"/>
  <c r="Q237" i="143"/>
  <c r="V175" i="143"/>
  <c r="V183" i="143" s="1"/>
  <c r="J175" i="143"/>
  <c r="J183" i="143" s="1"/>
  <c r="J234" i="143" s="1"/>
  <c r="J242" i="143" s="1"/>
  <c r="K226" i="143"/>
  <c r="L149" i="143"/>
  <c r="V144" i="143"/>
  <c r="O144" i="143"/>
  <c r="U175" i="143"/>
  <c r="U183" i="143" s="1"/>
  <c r="U234" i="143" s="1"/>
  <c r="U242" i="143" s="1"/>
  <c r="U73" i="140" s="1"/>
  <c r="J73" i="147" s="1"/>
  <c r="S175" i="143"/>
  <c r="S183" i="143" s="1"/>
  <c r="S234" i="143" s="1"/>
  <c r="S242" i="143" s="1"/>
  <c r="S73" i="140" s="1"/>
  <c r="H73" i="147" s="1"/>
  <c r="M175" i="143"/>
  <c r="M183" i="143" s="1"/>
  <c r="T237" i="143"/>
  <c r="R225" i="143"/>
  <c r="H120" i="143"/>
  <c r="H128" i="143" s="1"/>
  <c r="H225" i="143" s="1"/>
  <c r="H94" i="143"/>
  <c r="H218" i="143" s="1"/>
  <c r="J218" i="143"/>
  <c r="H178" i="143"/>
  <c r="H186" i="143" s="1"/>
  <c r="H237" i="143" s="1"/>
  <c r="H125" i="143"/>
  <c r="H133" i="143" s="1"/>
  <c r="H230" i="143" s="1"/>
  <c r="M233" i="143"/>
  <c r="M241" i="143" s="1"/>
  <c r="M198" i="143"/>
  <c r="K198" i="143"/>
  <c r="K233" i="143"/>
  <c r="K241" i="143" s="1"/>
  <c r="V233" i="143"/>
  <c r="V241" i="143" s="1"/>
  <c r="V198" i="143"/>
  <c r="N198" i="143"/>
  <c r="N233" i="143"/>
  <c r="N241" i="143" s="1"/>
  <c r="J204" i="143"/>
  <c r="H204" i="143" s="1"/>
  <c r="J239" i="143"/>
  <c r="R37" i="151"/>
  <c r="U235" i="143"/>
  <c r="U200" i="143"/>
  <c r="Q200" i="143"/>
  <c r="Q235" i="143"/>
  <c r="P235" i="143"/>
  <c r="P200" i="143"/>
  <c r="M201" i="143"/>
  <c r="M236" i="143"/>
  <c r="L201" i="143"/>
  <c r="L236" i="143"/>
  <c r="O201" i="143"/>
  <c r="O236" i="143"/>
  <c r="Q233" i="143"/>
  <c r="Q241" i="143" s="1"/>
  <c r="Q198" i="143"/>
  <c r="P198" i="143"/>
  <c r="P233" i="143"/>
  <c r="P241" i="143" s="1"/>
  <c r="R233" i="143"/>
  <c r="R241" i="143" s="1"/>
  <c r="R198" i="143"/>
  <c r="N200" i="143"/>
  <c r="N235" i="143"/>
  <c r="V200" i="143"/>
  <c r="V235" i="143"/>
  <c r="L235" i="143"/>
  <c r="L200" i="143"/>
  <c r="H177" i="143"/>
  <c r="H185" i="143" s="1"/>
  <c r="H236" i="143" s="1"/>
  <c r="J185" i="143"/>
  <c r="Q236" i="143"/>
  <c r="Q201" i="143"/>
  <c r="K236" i="143"/>
  <c r="K201" i="143"/>
  <c r="T233" i="143"/>
  <c r="T241" i="143" s="1"/>
  <c r="T198" i="143"/>
  <c r="S233" i="143"/>
  <c r="S241" i="143" s="1"/>
  <c r="S198" i="143"/>
  <c r="O233" i="143"/>
  <c r="O241" i="143" s="1"/>
  <c r="O198" i="143"/>
  <c r="J202" i="143"/>
  <c r="H202" i="143" s="1"/>
  <c r="J237" i="143"/>
  <c r="O235" i="143"/>
  <c r="O200" i="143"/>
  <c r="M200" i="143"/>
  <c r="M235" i="143"/>
  <c r="T235" i="143"/>
  <c r="T200" i="143"/>
  <c r="K200" i="143"/>
  <c r="K235" i="143"/>
  <c r="U236" i="143"/>
  <c r="U201" i="143"/>
  <c r="P236" i="143"/>
  <c r="P201" i="143"/>
  <c r="N201" i="143"/>
  <c r="N236" i="143"/>
  <c r="U233" i="143"/>
  <c r="U241" i="143" s="1"/>
  <c r="U198" i="143"/>
  <c r="L198" i="143"/>
  <c r="L233" i="143"/>
  <c r="L241" i="143" s="1"/>
  <c r="J182" i="143"/>
  <c r="H174" i="143"/>
  <c r="H182" i="143" s="1"/>
  <c r="H233" i="143" s="1"/>
  <c r="J184" i="143"/>
  <c r="H176" i="143"/>
  <c r="H184" i="143" s="1"/>
  <c r="H235" i="143" s="1"/>
  <c r="R200" i="143"/>
  <c r="R235" i="143"/>
  <c r="S200" i="143"/>
  <c r="S235" i="143"/>
  <c r="R236" i="143"/>
  <c r="R201" i="143"/>
  <c r="T201" i="143"/>
  <c r="T236" i="143"/>
  <c r="S201" i="143"/>
  <c r="S236" i="143"/>
  <c r="V201" i="143"/>
  <c r="V236" i="143"/>
  <c r="U203" i="143"/>
  <c r="U238" i="143"/>
  <c r="U246" i="143" s="1"/>
  <c r="V238" i="143"/>
  <c r="V246" i="143" s="1"/>
  <c r="V203" i="143"/>
  <c r="O238" i="143"/>
  <c r="O246" i="143" s="1"/>
  <c r="O203" i="143"/>
  <c r="T238" i="143"/>
  <c r="T246" i="143" s="1"/>
  <c r="T203" i="143"/>
  <c r="N238" i="143"/>
  <c r="N246" i="143" s="1"/>
  <c r="N203" i="143"/>
  <c r="P238" i="143"/>
  <c r="P246" i="143" s="1"/>
  <c r="P203" i="143"/>
  <c r="J187" i="143"/>
  <c r="H179" i="143"/>
  <c r="H187" i="143" s="1"/>
  <c r="H238" i="143" s="1"/>
  <c r="L203" i="143"/>
  <c r="L238" i="143"/>
  <c r="L246" i="143" s="1"/>
  <c r="Q203" i="143"/>
  <c r="Q238" i="143"/>
  <c r="Q246" i="143" s="1"/>
  <c r="S238" i="143"/>
  <c r="S246" i="143" s="1"/>
  <c r="S203" i="143"/>
  <c r="R238" i="143"/>
  <c r="R246" i="143" s="1"/>
  <c r="R203" i="143"/>
  <c r="M203" i="143"/>
  <c r="M238" i="143"/>
  <c r="M246" i="143" s="1"/>
  <c r="K203" i="143"/>
  <c r="K238" i="143"/>
  <c r="K246" i="143" s="1"/>
  <c r="S74" i="140"/>
  <c r="H74" i="147" s="1"/>
  <c r="S96" i="151"/>
  <c r="M74" i="140"/>
  <c r="M96" i="151"/>
  <c r="Q74" i="140"/>
  <c r="Q96" i="151"/>
  <c r="J130" i="143"/>
  <c r="H122" i="143"/>
  <c r="H130" i="143" s="1"/>
  <c r="H227" i="143" s="1"/>
  <c r="L227" i="143"/>
  <c r="L146" i="143"/>
  <c r="U227" i="143"/>
  <c r="U146" i="143"/>
  <c r="V74" i="140"/>
  <c r="K74" i="147" s="1"/>
  <c r="V96" i="151"/>
  <c r="R74" i="140"/>
  <c r="G74" i="147" s="1"/>
  <c r="R96" i="151"/>
  <c r="U74" i="140"/>
  <c r="J74" i="147" s="1"/>
  <c r="U96" i="151"/>
  <c r="P227" i="143"/>
  <c r="P146" i="143"/>
  <c r="O227" i="143"/>
  <c r="O146" i="143"/>
  <c r="Q146" i="143"/>
  <c r="Q227" i="143"/>
  <c r="O74" i="140"/>
  <c r="O96" i="151"/>
  <c r="P74" i="140"/>
  <c r="P96" i="151"/>
  <c r="J219" i="143"/>
  <c r="J243" i="143" s="1"/>
  <c r="H95" i="143"/>
  <c r="H219" i="143" s="1"/>
  <c r="L96" i="151"/>
  <c r="L74" i="140"/>
  <c r="T146" i="143"/>
  <c r="T227" i="143"/>
  <c r="M227" i="143"/>
  <c r="M146" i="143"/>
  <c r="K146" i="143"/>
  <c r="K227" i="143"/>
  <c r="N74" i="140"/>
  <c r="N96" i="151"/>
  <c r="K96" i="151"/>
  <c r="K74" i="140"/>
  <c r="T74" i="140"/>
  <c r="I74" i="147" s="1"/>
  <c r="T96" i="151"/>
  <c r="S227" i="143"/>
  <c r="S146" i="143"/>
  <c r="V227" i="143"/>
  <c r="V146" i="143"/>
  <c r="R146" i="143"/>
  <c r="R227" i="143"/>
  <c r="N146" i="143"/>
  <c r="N227" i="143"/>
  <c r="V70" i="151"/>
  <c r="V75" i="140"/>
  <c r="K75" i="147" s="1"/>
  <c r="H245" i="143"/>
  <c r="J116" i="151"/>
  <c r="J76" i="140"/>
  <c r="R147" i="143"/>
  <c r="R228" i="143"/>
  <c r="J220" i="143"/>
  <c r="J244" i="143" s="1"/>
  <c r="H96" i="143"/>
  <c r="H220" i="143" s="1"/>
  <c r="T75" i="140"/>
  <c r="I75" i="147" s="1"/>
  <c r="T70" i="151"/>
  <c r="K70" i="151"/>
  <c r="K75" i="140"/>
  <c r="J135" i="151"/>
  <c r="J78" i="140"/>
  <c r="H247" i="143"/>
  <c r="J131" i="143"/>
  <c r="H123" i="143"/>
  <c r="H131" i="143" s="1"/>
  <c r="H228" i="143" s="1"/>
  <c r="L228" i="143"/>
  <c r="L147" i="143"/>
  <c r="P147" i="143"/>
  <c r="P228" i="143"/>
  <c r="V128" i="151"/>
  <c r="V117" i="151"/>
  <c r="V122" i="151" s="1"/>
  <c r="M117" i="151"/>
  <c r="M122" i="151" s="1"/>
  <c r="M128" i="151"/>
  <c r="N117" i="151"/>
  <c r="N122" i="151" s="1"/>
  <c r="N128" i="151"/>
  <c r="K117" i="151"/>
  <c r="K122" i="151" s="1"/>
  <c r="K128" i="151"/>
  <c r="L70" i="151"/>
  <c r="L75" i="140"/>
  <c r="S70" i="151"/>
  <c r="S75" i="140"/>
  <c r="H75" i="147" s="1"/>
  <c r="P75" i="140"/>
  <c r="P70" i="151"/>
  <c r="O75" i="140"/>
  <c r="O70" i="151"/>
  <c r="J231" i="143"/>
  <c r="J150" i="143"/>
  <c r="H150" i="143" s="1"/>
  <c r="R117" i="151"/>
  <c r="R122" i="151" s="1"/>
  <c r="R128" i="151"/>
  <c r="N147" i="143"/>
  <c r="N228" i="143"/>
  <c r="T228" i="143"/>
  <c r="T147" i="143"/>
  <c r="S228" i="143"/>
  <c r="S147" i="143"/>
  <c r="L117" i="151"/>
  <c r="L122" i="151" s="1"/>
  <c r="L128" i="151"/>
  <c r="S117" i="151"/>
  <c r="S122" i="151" s="1"/>
  <c r="S128" i="151"/>
  <c r="J229" i="143"/>
  <c r="J148" i="143"/>
  <c r="J230" i="143"/>
  <c r="J149" i="143"/>
  <c r="R75" i="140"/>
  <c r="G75" i="147" s="1"/>
  <c r="R70" i="151"/>
  <c r="O228" i="143"/>
  <c r="O147" i="143"/>
  <c r="U128" i="151"/>
  <c r="U117" i="151"/>
  <c r="U122" i="151" s="1"/>
  <c r="N75" i="140"/>
  <c r="N70" i="151"/>
  <c r="K147" i="143"/>
  <c r="K228" i="143"/>
  <c r="Q117" i="151"/>
  <c r="Q122" i="151" s="1"/>
  <c r="Q128" i="151"/>
  <c r="T128" i="151"/>
  <c r="T117" i="151"/>
  <c r="T122" i="151" s="1"/>
  <c r="Q70" i="151"/>
  <c r="Q75" i="140"/>
  <c r="U70" i="151"/>
  <c r="U75" i="140"/>
  <c r="J75" i="147" s="1"/>
  <c r="M75" i="140"/>
  <c r="M70" i="151"/>
  <c r="O117" i="151"/>
  <c r="O122" i="151" s="1"/>
  <c r="O128" i="151"/>
  <c r="Q147" i="143"/>
  <c r="Q228" i="143"/>
  <c r="V147" i="143"/>
  <c r="V228" i="143"/>
  <c r="M147" i="143"/>
  <c r="M228" i="143"/>
  <c r="U228" i="143"/>
  <c r="U147" i="143"/>
  <c r="P117" i="151"/>
  <c r="P122" i="151" s="1"/>
  <c r="P128" i="151"/>
  <c r="J144" i="143"/>
  <c r="J225" i="143"/>
  <c r="O145" i="143" l="1"/>
  <c r="J199" i="143"/>
  <c r="U199" i="143"/>
  <c r="U37" i="151"/>
  <c r="U38" i="151" s="1"/>
  <c r="U51" i="151" s="1"/>
  <c r="H148" i="143"/>
  <c r="M226" i="143"/>
  <c r="P226" i="143"/>
  <c r="P145" i="143"/>
  <c r="S37" i="151"/>
  <c r="S61" i="151" s="1"/>
  <c r="N145" i="143"/>
  <c r="T226" i="143"/>
  <c r="Q226" i="143"/>
  <c r="Q145" i="143"/>
  <c r="U226" i="143"/>
  <c r="U145" i="143"/>
  <c r="V145" i="143"/>
  <c r="V226" i="143"/>
  <c r="J129" i="143"/>
  <c r="H121" i="143"/>
  <c r="H129" i="143" s="1"/>
  <c r="H226" i="143" s="1"/>
  <c r="R226" i="143"/>
  <c r="R145" i="143"/>
  <c r="H144" i="143"/>
  <c r="T234" i="143"/>
  <c r="T242" i="143" s="1"/>
  <c r="T199" i="143"/>
  <c r="H149" i="143"/>
  <c r="S199" i="143"/>
  <c r="L199" i="143"/>
  <c r="L234" i="143"/>
  <c r="L242" i="143" s="1"/>
  <c r="N199" i="143"/>
  <c r="N234" i="143"/>
  <c r="N242" i="143" s="1"/>
  <c r="Q234" i="143"/>
  <c r="Q242" i="143" s="1"/>
  <c r="Q199" i="143"/>
  <c r="P199" i="143"/>
  <c r="P234" i="143"/>
  <c r="P242" i="143" s="1"/>
  <c r="H175" i="143"/>
  <c r="H183" i="143" s="1"/>
  <c r="H234" i="143" s="1"/>
  <c r="M234" i="143"/>
  <c r="M242" i="143" s="1"/>
  <c r="M199" i="143"/>
  <c r="V234" i="143"/>
  <c r="V242" i="143" s="1"/>
  <c r="V199" i="143"/>
  <c r="K199" i="143"/>
  <c r="K234" i="143"/>
  <c r="K242" i="143" s="1"/>
  <c r="O199" i="143"/>
  <c r="O234" i="143"/>
  <c r="O242" i="143" s="1"/>
  <c r="J73" i="140"/>
  <c r="J37" i="151"/>
  <c r="O10" i="151"/>
  <c r="O72" i="140"/>
  <c r="T72" i="140"/>
  <c r="I72" i="147" s="1"/>
  <c r="T10" i="151"/>
  <c r="R72" i="140"/>
  <c r="G72" i="147" s="1"/>
  <c r="R10" i="151"/>
  <c r="Q10" i="151"/>
  <c r="Q72" i="140"/>
  <c r="V10" i="151"/>
  <c r="V72" i="140"/>
  <c r="K72" i="147" s="1"/>
  <c r="M10" i="151"/>
  <c r="M72" i="140"/>
  <c r="J233" i="143"/>
  <c r="J241" i="143" s="1"/>
  <c r="J198" i="143"/>
  <c r="H198" i="143" s="1"/>
  <c r="U72" i="140"/>
  <c r="J72" i="147" s="1"/>
  <c r="U10" i="151"/>
  <c r="P72" i="140"/>
  <c r="P10" i="151"/>
  <c r="U61" i="151"/>
  <c r="N10" i="151"/>
  <c r="N72" i="140"/>
  <c r="K10" i="151"/>
  <c r="K72" i="140"/>
  <c r="L72" i="140"/>
  <c r="L10" i="151"/>
  <c r="S10" i="151"/>
  <c r="S72" i="140"/>
  <c r="H72" i="147" s="1"/>
  <c r="J235" i="143"/>
  <c r="J200" i="143"/>
  <c r="H200" i="143" s="1"/>
  <c r="J236" i="143"/>
  <c r="J201" i="143"/>
  <c r="H201" i="143" s="1"/>
  <c r="R61" i="151"/>
  <c r="R38" i="151"/>
  <c r="R51" i="151" s="1"/>
  <c r="L134" i="151"/>
  <c r="L77" i="140"/>
  <c r="K134" i="151"/>
  <c r="K77" i="140"/>
  <c r="Q134" i="151"/>
  <c r="Q77" i="140"/>
  <c r="U134" i="151"/>
  <c r="U77" i="140"/>
  <c r="J77" i="147" s="1"/>
  <c r="M134" i="151"/>
  <c r="M77" i="140"/>
  <c r="S77" i="140"/>
  <c r="H77" i="147" s="1"/>
  <c r="S134" i="151"/>
  <c r="P77" i="140"/>
  <c r="P134" i="151"/>
  <c r="T134" i="151"/>
  <c r="T77" i="140"/>
  <c r="I77" i="147" s="1"/>
  <c r="V134" i="151"/>
  <c r="V77" i="140"/>
  <c r="K77" i="147" s="1"/>
  <c r="R134" i="151"/>
  <c r="R77" i="140"/>
  <c r="G77" i="147" s="1"/>
  <c r="J203" i="143"/>
  <c r="H203" i="143" s="1"/>
  <c r="J238" i="143"/>
  <c r="J246" i="143" s="1"/>
  <c r="N77" i="140"/>
  <c r="N134" i="151"/>
  <c r="O134" i="151"/>
  <c r="O77" i="140"/>
  <c r="V108" i="151"/>
  <c r="V97" i="151"/>
  <c r="V102" i="151" s="1"/>
  <c r="K97" i="151"/>
  <c r="K102" i="151" s="1"/>
  <c r="K108" i="151"/>
  <c r="T108" i="151"/>
  <c r="T97" i="151"/>
  <c r="T102" i="151" s="1"/>
  <c r="N108" i="151"/>
  <c r="N97" i="151"/>
  <c r="N102" i="151" s="1"/>
  <c r="P97" i="151"/>
  <c r="P102" i="151" s="1"/>
  <c r="P108" i="151"/>
  <c r="R108" i="151"/>
  <c r="R97" i="151"/>
  <c r="R102" i="151" s="1"/>
  <c r="M97" i="151"/>
  <c r="M102" i="151" s="1"/>
  <c r="M108" i="151"/>
  <c r="L97" i="151"/>
  <c r="L102" i="151" s="1"/>
  <c r="L108" i="151"/>
  <c r="J146" i="143"/>
  <c r="H146" i="143" s="1"/>
  <c r="J227" i="143"/>
  <c r="O97" i="151"/>
  <c r="O102" i="151" s="1"/>
  <c r="O108" i="151"/>
  <c r="U97" i="151"/>
  <c r="U102" i="151" s="1"/>
  <c r="U108" i="151"/>
  <c r="Q97" i="151"/>
  <c r="Q102" i="151" s="1"/>
  <c r="Q108" i="151"/>
  <c r="S108" i="151"/>
  <c r="S97" i="151"/>
  <c r="S102" i="151" s="1"/>
  <c r="J74" i="140"/>
  <c r="J96" i="151"/>
  <c r="H243" i="143"/>
  <c r="T125" i="151"/>
  <c r="T100" i="140" s="1"/>
  <c r="I96" i="147" s="1"/>
  <c r="T124" i="151"/>
  <c r="U125" i="151"/>
  <c r="U100" i="140" s="1"/>
  <c r="J96" i="147" s="1"/>
  <c r="U124" i="151"/>
  <c r="S125" i="151"/>
  <c r="S100" i="140" s="1"/>
  <c r="H96" i="147" s="1"/>
  <c r="S124" i="151"/>
  <c r="V125" i="151"/>
  <c r="V100" i="140" s="1"/>
  <c r="K96" i="147" s="1"/>
  <c r="V124" i="151"/>
  <c r="H135" i="151"/>
  <c r="H78" i="140"/>
  <c r="J70" i="151"/>
  <c r="H244" i="143"/>
  <c r="J75" i="140"/>
  <c r="J128" i="151"/>
  <c r="J117" i="151"/>
  <c r="J122" i="151" s="1"/>
  <c r="U88" i="151"/>
  <c r="U71" i="151"/>
  <c r="U79" i="151" s="1"/>
  <c r="R71" i="151"/>
  <c r="R79" i="151" s="1"/>
  <c r="R88" i="151"/>
  <c r="O71" i="151"/>
  <c r="O79" i="151" s="1"/>
  <c r="O88" i="151"/>
  <c r="T88" i="151"/>
  <c r="T71" i="151"/>
  <c r="T79" i="151" s="1"/>
  <c r="H116" i="151"/>
  <c r="H128" i="151" s="1"/>
  <c r="H76" i="140"/>
  <c r="M71" i="151"/>
  <c r="M79" i="151" s="1"/>
  <c r="M88" i="151"/>
  <c r="N71" i="151"/>
  <c r="N79" i="151" s="1"/>
  <c r="N88" i="151"/>
  <c r="L125" i="151"/>
  <c r="L100" i="140" s="1"/>
  <c r="L124" i="151"/>
  <c r="R125" i="151"/>
  <c r="R100" i="140" s="1"/>
  <c r="G96" i="147" s="1"/>
  <c r="R124" i="151"/>
  <c r="S71" i="151"/>
  <c r="S79" i="151" s="1"/>
  <c r="S88" i="151"/>
  <c r="K125" i="151"/>
  <c r="K100" i="140" s="1"/>
  <c r="K124" i="151"/>
  <c r="P125" i="151"/>
  <c r="P100" i="140" s="1"/>
  <c r="P124" i="151"/>
  <c r="Q71" i="151"/>
  <c r="Q79" i="151" s="1"/>
  <c r="Q88" i="151"/>
  <c r="Q125" i="151"/>
  <c r="Q100" i="140" s="1"/>
  <c r="Q124" i="151"/>
  <c r="P71" i="151"/>
  <c r="P79" i="151" s="1"/>
  <c r="P88" i="151"/>
  <c r="N125" i="151"/>
  <c r="N100" i="140" s="1"/>
  <c r="N124" i="151"/>
  <c r="J228" i="143"/>
  <c r="J147" i="143"/>
  <c r="H147" i="143" s="1"/>
  <c r="V88" i="151"/>
  <c r="V71" i="151"/>
  <c r="V79" i="151" s="1"/>
  <c r="L71" i="151"/>
  <c r="L79" i="151" s="1"/>
  <c r="L88" i="151"/>
  <c r="K71" i="151"/>
  <c r="K79" i="151" s="1"/>
  <c r="K88" i="151"/>
  <c r="O125" i="151"/>
  <c r="O100" i="140" s="1"/>
  <c r="O124" i="151"/>
  <c r="M125" i="151"/>
  <c r="M100" i="140" s="1"/>
  <c r="M124" i="151"/>
  <c r="S38" i="151" l="1"/>
  <c r="S51" i="151" s="1"/>
  <c r="S56" i="151" s="1"/>
  <c r="S89" i="140" s="1"/>
  <c r="H85" i="147" s="1"/>
  <c r="H199" i="143"/>
  <c r="J226" i="143"/>
  <c r="J145" i="143"/>
  <c r="H145" i="143" s="1"/>
  <c r="V73" i="140"/>
  <c r="K73" i="147" s="1"/>
  <c r="V37" i="151"/>
  <c r="N73" i="140"/>
  <c r="N37" i="151"/>
  <c r="T37" i="151"/>
  <c r="T73" i="140"/>
  <c r="I73" i="147" s="1"/>
  <c r="H242" i="143"/>
  <c r="H37" i="151" s="1"/>
  <c r="H61" i="151" s="1"/>
  <c r="K37" i="151"/>
  <c r="K73" i="140"/>
  <c r="M73" i="140"/>
  <c r="M37" i="151"/>
  <c r="L73" i="140"/>
  <c r="L37" i="151"/>
  <c r="O73" i="140"/>
  <c r="O37" i="151"/>
  <c r="Q73" i="140"/>
  <c r="Q37" i="151"/>
  <c r="P73" i="140"/>
  <c r="P37" i="151"/>
  <c r="R54" i="151"/>
  <c r="R87" i="140" s="1"/>
  <c r="G83" i="147" s="1"/>
  <c r="R56" i="151"/>
  <c r="R89" i="140" s="1"/>
  <c r="G85" i="147" s="1"/>
  <c r="R55" i="151"/>
  <c r="R88" i="140" s="1"/>
  <c r="G84" i="147" s="1"/>
  <c r="R58" i="151"/>
  <c r="R91" i="140" s="1"/>
  <c r="G87" i="147" s="1"/>
  <c r="R57" i="151"/>
  <c r="R90" i="140" s="1"/>
  <c r="G86" i="147" s="1"/>
  <c r="R53" i="151"/>
  <c r="L11" i="151"/>
  <c r="L21" i="151" s="1"/>
  <c r="L28" i="151"/>
  <c r="U55" i="151"/>
  <c r="U88" i="140" s="1"/>
  <c r="J84" i="147" s="1"/>
  <c r="U57" i="151"/>
  <c r="U90" i="140" s="1"/>
  <c r="J86" i="147" s="1"/>
  <c r="U58" i="151"/>
  <c r="U91" i="140" s="1"/>
  <c r="J87" i="147" s="1"/>
  <c r="U54" i="151"/>
  <c r="U87" i="140" s="1"/>
  <c r="J83" i="147" s="1"/>
  <c r="U56" i="151"/>
  <c r="U89" i="140" s="1"/>
  <c r="J85" i="147" s="1"/>
  <c r="U53" i="151"/>
  <c r="P28" i="151"/>
  <c r="P11" i="151"/>
  <c r="P21" i="151" s="1"/>
  <c r="R11" i="151"/>
  <c r="R21" i="151" s="1"/>
  <c r="R28" i="151"/>
  <c r="S28" i="151"/>
  <c r="S11" i="151"/>
  <c r="S21" i="151" s="1"/>
  <c r="K11" i="151"/>
  <c r="K21" i="151" s="1"/>
  <c r="K28" i="151"/>
  <c r="J72" i="140"/>
  <c r="J10" i="151"/>
  <c r="H241" i="143"/>
  <c r="V11" i="151"/>
  <c r="V21" i="151" s="1"/>
  <c r="V28" i="151"/>
  <c r="O28" i="151"/>
  <c r="O11" i="151"/>
  <c r="O21" i="151" s="1"/>
  <c r="J38" i="151"/>
  <c r="J51" i="151" s="1"/>
  <c r="J61" i="151"/>
  <c r="S57" i="151"/>
  <c r="S90" i="140" s="1"/>
  <c r="H86" i="147" s="1"/>
  <c r="S54" i="151"/>
  <c r="S87" i="140" s="1"/>
  <c r="H83" i="147" s="1"/>
  <c r="S53" i="151"/>
  <c r="S58" i="151"/>
  <c r="S91" i="140" s="1"/>
  <c r="H87" i="147" s="1"/>
  <c r="U28" i="151"/>
  <c r="U11" i="151"/>
  <c r="U21" i="151" s="1"/>
  <c r="T28" i="151"/>
  <c r="T11" i="151"/>
  <c r="T21" i="151" s="1"/>
  <c r="N28" i="151"/>
  <c r="N11" i="151"/>
  <c r="N21" i="151" s="1"/>
  <c r="M28" i="151"/>
  <c r="M11" i="151"/>
  <c r="M21" i="151" s="1"/>
  <c r="Q28" i="151"/>
  <c r="Q11" i="151"/>
  <c r="Q21" i="151" s="1"/>
  <c r="J77" i="140"/>
  <c r="J134" i="151"/>
  <c r="H246" i="143"/>
  <c r="H96" i="151"/>
  <c r="H108" i="151" s="1"/>
  <c r="H74" i="140"/>
  <c r="S104" i="151"/>
  <c r="S105" i="151"/>
  <c r="S98" i="140" s="1"/>
  <c r="H94" i="147" s="1"/>
  <c r="T104" i="151"/>
  <c r="T105" i="151"/>
  <c r="T98" i="140" s="1"/>
  <c r="I94" i="147" s="1"/>
  <c r="V105" i="151"/>
  <c r="V98" i="140" s="1"/>
  <c r="K94" i="147" s="1"/>
  <c r="V104" i="151"/>
  <c r="J108" i="151"/>
  <c r="J97" i="151"/>
  <c r="J102" i="151" s="1"/>
  <c r="U104" i="151"/>
  <c r="U105" i="151"/>
  <c r="U98" i="140" s="1"/>
  <c r="J94" i="147" s="1"/>
  <c r="M104" i="151"/>
  <c r="M105" i="151"/>
  <c r="M98" i="140" s="1"/>
  <c r="P104" i="151"/>
  <c r="P105" i="151"/>
  <c r="P98" i="140" s="1"/>
  <c r="R104" i="151"/>
  <c r="R105" i="151"/>
  <c r="R98" i="140" s="1"/>
  <c r="G94" i="147" s="1"/>
  <c r="N104" i="151"/>
  <c r="N105" i="151"/>
  <c r="N98" i="140" s="1"/>
  <c r="Q104" i="151"/>
  <c r="Q105" i="151"/>
  <c r="Q98" i="140" s="1"/>
  <c r="O105" i="151"/>
  <c r="O98" i="140" s="1"/>
  <c r="O104" i="151"/>
  <c r="L105" i="151"/>
  <c r="L98" i="140" s="1"/>
  <c r="L104" i="151"/>
  <c r="K105" i="151"/>
  <c r="K98" i="140" s="1"/>
  <c r="K104" i="151"/>
  <c r="S99" i="140"/>
  <c r="H95" i="147" s="1"/>
  <c r="S126" i="151"/>
  <c r="S129" i="151" s="1"/>
  <c r="S130" i="151" s="1"/>
  <c r="T99" i="140"/>
  <c r="I95" i="147" s="1"/>
  <c r="T126" i="151"/>
  <c r="T129" i="151" s="1"/>
  <c r="T130" i="151" s="1"/>
  <c r="M99" i="140"/>
  <c r="M126" i="151"/>
  <c r="M129" i="151" s="1"/>
  <c r="M130" i="151" s="1"/>
  <c r="K83" i="151"/>
  <c r="K94" i="140" s="1"/>
  <c r="K81" i="151"/>
  <c r="K82" i="151"/>
  <c r="K93" i="140" s="1"/>
  <c r="K85" i="151"/>
  <c r="K96" i="140" s="1"/>
  <c r="K84" i="151"/>
  <c r="K95" i="140" s="1"/>
  <c r="V83" i="151"/>
  <c r="V94" i="140" s="1"/>
  <c r="K90" i="147" s="1"/>
  <c r="V85" i="151"/>
  <c r="V96" i="140" s="1"/>
  <c r="K92" i="147" s="1"/>
  <c r="V82" i="151"/>
  <c r="V93" i="140" s="1"/>
  <c r="K89" i="147" s="1"/>
  <c r="V81" i="151"/>
  <c r="V84" i="151"/>
  <c r="V95" i="140" s="1"/>
  <c r="K91" i="147" s="1"/>
  <c r="N99" i="140"/>
  <c r="N126" i="151"/>
  <c r="N129" i="151" s="1"/>
  <c r="N130" i="151" s="1"/>
  <c r="Q83" i="151"/>
  <c r="Q94" i="140" s="1"/>
  <c r="Q85" i="151"/>
  <c r="Q96" i="140" s="1"/>
  <c r="Q81" i="151"/>
  <c r="Q84" i="151"/>
  <c r="Q95" i="140" s="1"/>
  <c r="Q82" i="151"/>
  <c r="Q93" i="140" s="1"/>
  <c r="K126" i="151"/>
  <c r="K129" i="151" s="1"/>
  <c r="K130" i="151" s="1"/>
  <c r="K99" i="140"/>
  <c r="R99" i="140"/>
  <c r="G95" i="147" s="1"/>
  <c r="R126" i="151"/>
  <c r="R129" i="151" s="1"/>
  <c r="R130" i="151" s="1"/>
  <c r="U83" i="151"/>
  <c r="U94" i="140" s="1"/>
  <c r="J90" i="147" s="1"/>
  <c r="U84" i="151"/>
  <c r="U95" i="140" s="1"/>
  <c r="J91" i="147" s="1"/>
  <c r="U82" i="151"/>
  <c r="U93" i="140" s="1"/>
  <c r="J89" i="147" s="1"/>
  <c r="U85" i="151"/>
  <c r="U96" i="140" s="1"/>
  <c r="J92" i="147" s="1"/>
  <c r="U81" i="151"/>
  <c r="P99" i="140"/>
  <c r="P126" i="151"/>
  <c r="P129" i="151" s="1"/>
  <c r="P130" i="151" s="1"/>
  <c r="L83" i="151"/>
  <c r="L94" i="140" s="1"/>
  <c r="L84" i="151"/>
  <c r="L95" i="140" s="1"/>
  <c r="L82" i="151"/>
  <c r="L93" i="140" s="1"/>
  <c r="L85" i="151"/>
  <c r="L96" i="140" s="1"/>
  <c r="L81" i="151"/>
  <c r="P83" i="151"/>
  <c r="P94" i="140" s="1"/>
  <c r="P84" i="151"/>
  <c r="P95" i="140" s="1"/>
  <c r="P85" i="151"/>
  <c r="P96" i="140" s="1"/>
  <c r="P81" i="151"/>
  <c r="P82" i="151"/>
  <c r="P93" i="140" s="1"/>
  <c r="S83" i="151"/>
  <c r="S94" i="140" s="1"/>
  <c r="H90" i="147" s="1"/>
  <c r="S84" i="151"/>
  <c r="S95" i="140" s="1"/>
  <c r="H91" i="147" s="1"/>
  <c r="S85" i="151"/>
  <c r="S96" i="140" s="1"/>
  <c r="H92" i="147" s="1"/>
  <c r="S81" i="151"/>
  <c r="S82" i="151"/>
  <c r="S93" i="140" s="1"/>
  <c r="H89" i="147" s="1"/>
  <c r="O126" i="151"/>
  <c r="O129" i="151" s="1"/>
  <c r="O130" i="151" s="1"/>
  <c r="O99" i="140"/>
  <c r="Q99" i="140"/>
  <c r="Q126" i="151"/>
  <c r="Q129" i="151" s="1"/>
  <c r="Q130" i="151" s="1"/>
  <c r="M83" i="151"/>
  <c r="M94" i="140" s="1"/>
  <c r="M85" i="151"/>
  <c r="M96" i="140" s="1"/>
  <c r="M84" i="151"/>
  <c r="M95" i="140" s="1"/>
  <c r="M81" i="151"/>
  <c r="M82" i="151"/>
  <c r="M93" i="140" s="1"/>
  <c r="T83" i="151"/>
  <c r="T94" i="140" s="1"/>
  <c r="I90" i="147" s="1"/>
  <c r="T81" i="151"/>
  <c r="T85" i="151"/>
  <c r="T96" i="140" s="1"/>
  <c r="I92" i="147" s="1"/>
  <c r="T84" i="151"/>
  <c r="T95" i="140" s="1"/>
  <c r="I91" i="147" s="1"/>
  <c r="T82" i="151"/>
  <c r="T93" i="140" s="1"/>
  <c r="I89" i="147" s="1"/>
  <c r="O83" i="151"/>
  <c r="O94" i="140" s="1"/>
  <c r="O81" i="151"/>
  <c r="O84" i="151"/>
  <c r="O95" i="140" s="1"/>
  <c r="O82" i="151"/>
  <c r="O93" i="140" s="1"/>
  <c r="O85" i="151"/>
  <c r="O96" i="140" s="1"/>
  <c r="R83" i="151"/>
  <c r="R94" i="140" s="1"/>
  <c r="G90" i="147" s="1"/>
  <c r="R84" i="151"/>
  <c r="R95" i="140" s="1"/>
  <c r="G91" i="147" s="1"/>
  <c r="R85" i="151"/>
  <c r="R96" i="140" s="1"/>
  <c r="G92" i="147" s="1"/>
  <c r="R82" i="151"/>
  <c r="R93" i="140" s="1"/>
  <c r="G89" i="147" s="1"/>
  <c r="R81" i="151"/>
  <c r="H70" i="151"/>
  <c r="H88" i="151" s="1"/>
  <c r="H75" i="140"/>
  <c r="V126" i="151"/>
  <c r="V129" i="151" s="1"/>
  <c r="V130" i="151" s="1"/>
  <c r="V99" i="140"/>
  <c r="K95" i="147" s="1"/>
  <c r="U126" i="151"/>
  <c r="U129" i="151" s="1"/>
  <c r="U130" i="151" s="1"/>
  <c r="U99" i="140"/>
  <c r="J95" i="147" s="1"/>
  <c r="L126" i="151"/>
  <c r="L129" i="151" s="1"/>
  <c r="L130" i="151" s="1"/>
  <c r="L99" i="140"/>
  <c r="N83" i="151"/>
  <c r="N94" i="140" s="1"/>
  <c r="N84" i="151"/>
  <c r="N95" i="140" s="1"/>
  <c r="N81" i="151"/>
  <c r="N85" i="151"/>
  <c r="N96" i="140" s="1"/>
  <c r="N82" i="151"/>
  <c r="N93" i="140" s="1"/>
  <c r="J125" i="151"/>
  <c r="J124" i="151"/>
  <c r="J71" i="151"/>
  <c r="J79" i="151" s="1"/>
  <c r="J88" i="151"/>
  <c r="H73" i="140" l="1"/>
  <c r="S55" i="151"/>
  <c r="S88" i="140" s="1"/>
  <c r="H84" i="147" s="1"/>
  <c r="P38" i="151"/>
  <c r="P51" i="151" s="1"/>
  <c r="P61" i="151"/>
  <c r="O38" i="151"/>
  <c r="O51" i="151" s="1"/>
  <c r="O61" i="151"/>
  <c r="M61" i="151"/>
  <c r="M38" i="151"/>
  <c r="M51" i="151" s="1"/>
  <c r="K61" i="151"/>
  <c r="K38" i="151"/>
  <c r="K51" i="151" s="1"/>
  <c r="V38" i="151"/>
  <c r="V51" i="151" s="1"/>
  <c r="V61" i="151"/>
  <c r="N38" i="151"/>
  <c r="N51" i="151" s="1"/>
  <c r="N61" i="151"/>
  <c r="Q38" i="151"/>
  <c r="Q51" i="151" s="1"/>
  <c r="Q61" i="151"/>
  <c r="L61" i="151"/>
  <c r="L38" i="151"/>
  <c r="L51" i="151" s="1"/>
  <c r="T38" i="151"/>
  <c r="T51" i="151" s="1"/>
  <c r="T61" i="151"/>
  <c r="Q23" i="151"/>
  <c r="Q24" i="151"/>
  <c r="Q84" i="140" s="1"/>
  <c r="Q25" i="151"/>
  <c r="Q85" i="140" s="1"/>
  <c r="S86" i="140"/>
  <c r="H82" i="147" s="1"/>
  <c r="J28" i="151"/>
  <c r="J11" i="151"/>
  <c r="J21" i="151" s="1"/>
  <c r="P24" i="151"/>
  <c r="P84" i="140" s="1"/>
  <c r="P23" i="151"/>
  <c r="P25" i="151"/>
  <c r="P85" i="140" s="1"/>
  <c r="M23" i="151"/>
  <c r="M24" i="151"/>
  <c r="M84" i="140" s="1"/>
  <c r="M25" i="151"/>
  <c r="M85" i="140" s="1"/>
  <c r="N24" i="151"/>
  <c r="N84" i="140" s="1"/>
  <c r="N23" i="151"/>
  <c r="N25" i="151"/>
  <c r="N85" i="140" s="1"/>
  <c r="U24" i="151"/>
  <c r="U84" i="140" s="1"/>
  <c r="J80" i="147" s="1"/>
  <c r="U23" i="151"/>
  <c r="U25" i="151"/>
  <c r="U85" i="140" s="1"/>
  <c r="J81" i="147" s="1"/>
  <c r="K24" i="151"/>
  <c r="K84" i="140" s="1"/>
  <c r="K25" i="151"/>
  <c r="K85" i="140" s="1"/>
  <c r="K23" i="151"/>
  <c r="L24" i="151"/>
  <c r="L84" i="140" s="1"/>
  <c r="L23" i="151"/>
  <c r="L25" i="151"/>
  <c r="L85" i="140" s="1"/>
  <c r="J57" i="151"/>
  <c r="J58" i="151"/>
  <c r="J54" i="151"/>
  <c r="J53" i="151"/>
  <c r="J56" i="151"/>
  <c r="J55" i="151"/>
  <c r="V24" i="151"/>
  <c r="V84" i="140" s="1"/>
  <c r="K80" i="147" s="1"/>
  <c r="V23" i="151"/>
  <c r="V25" i="151"/>
  <c r="V85" i="140" s="1"/>
  <c r="K81" i="147" s="1"/>
  <c r="S23" i="151"/>
  <c r="S25" i="151"/>
  <c r="S85" i="140" s="1"/>
  <c r="H81" i="147" s="1"/>
  <c r="S24" i="151"/>
  <c r="S84" i="140" s="1"/>
  <c r="H80" i="147" s="1"/>
  <c r="U86" i="140"/>
  <c r="J82" i="147" s="1"/>
  <c r="U59" i="151"/>
  <c r="U62" i="151" s="1"/>
  <c r="U63" i="151" s="1"/>
  <c r="R86" i="140"/>
  <c r="G82" i="147" s="1"/>
  <c r="R59" i="151"/>
  <c r="R62" i="151" s="1"/>
  <c r="R63" i="151" s="1"/>
  <c r="T24" i="151"/>
  <c r="T84" i="140" s="1"/>
  <c r="I80" i="147" s="1"/>
  <c r="T23" i="151"/>
  <c r="T25" i="151"/>
  <c r="T85" i="140" s="1"/>
  <c r="I81" i="147" s="1"/>
  <c r="O24" i="151"/>
  <c r="O84" i="140" s="1"/>
  <c r="O23" i="151"/>
  <c r="O83" i="140" s="1"/>
  <c r="O25" i="151"/>
  <c r="H10" i="151"/>
  <c r="H28" i="151" s="1"/>
  <c r="H72" i="140"/>
  <c r="R24" i="151"/>
  <c r="R84" i="140" s="1"/>
  <c r="G80" i="147" s="1"/>
  <c r="R25" i="151"/>
  <c r="R85" i="140" s="1"/>
  <c r="G81" i="147" s="1"/>
  <c r="R23" i="151"/>
  <c r="H77" i="140"/>
  <c r="H134" i="151"/>
  <c r="K106" i="151"/>
  <c r="K109" i="151" s="1"/>
  <c r="K110" i="151" s="1"/>
  <c r="K97" i="140"/>
  <c r="O97" i="140"/>
  <c r="O106" i="151"/>
  <c r="O109" i="151" s="1"/>
  <c r="O110" i="151" s="1"/>
  <c r="V97" i="140"/>
  <c r="K93" i="147" s="1"/>
  <c r="V106" i="151"/>
  <c r="V109" i="151" s="1"/>
  <c r="V110" i="151" s="1"/>
  <c r="N106" i="151"/>
  <c r="N109" i="151" s="1"/>
  <c r="N110" i="151" s="1"/>
  <c r="N97" i="140"/>
  <c r="P106" i="151"/>
  <c r="P109" i="151" s="1"/>
  <c r="P110" i="151" s="1"/>
  <c r="P97" i="140"/>
  <c r="U97" i="140"/>
  <c r="J93" i="147" s="1"/>
  <c r="U106" i="151"/>
  <c r="U109" i="151" s="1"/>
  <c r="U110" i="151" s="1"/>
  <c r="S106" i="151"/>
  <c r="S109" i="151" s="1"/>
  <c r="S110" i="151" s="1"/>
  <c r="S97" i="140"/>
  <c r="H93" i="147" s="1"/>
  <c r="L106" i="151"/>
  <c r="L109" i="151" s="1"/>
  <c r="L110" i="151" s="1"/>
  <c r="L97" i="140"/>
  <c r="J105" i="151"/>
  <c r="J104" i="151"/>
  <c r="Q97" i="140"/>
  <c r="Q106" i="151"/>
  <c r="Q109" i="151" s="1"/>
  <c r="Q110" i="151" s="1"/>
  <c r="R97" i="140"/>
  <c r="G93" i="147" s="1"/>
  <c r="R106" i="151"/>
  <c r="R109" i="151" s="1"/>
  <c r="R110" i="151" s="1"/>
  <c r="M97" i="140"/>
  <c r="M106" i="151"/>
  <c r="M109" i="151" s="1"/>
  <c r="M110" i="151" s="1"/>
  <c r="T106" i="151"/>
  <c r="T109" i="151" s="1"/>
  <c r="T110" i="151" s="1"/>
  <c r="T97" i="140"/>
  <c r="I93" i="147" s="1"/>
  <c r="J100" i="140"/>
  <c r="H125" i="151"/>
  <c r="H100" i="140" s="1"/>
  <c r="T86" i="151"/>
  <c r="T89" i="151" s="1"/>
  <c r="T90" i="151" s="1"/>
  <c r="T92" i="140"/>
  <c r="I88" i="147" s="1"/>
  <c r="Q92" i="140"/>
  <c r="Q86" i="151"/>
  <c r="Q89" i="151" s="1"/>
  <c r="Q90" i="151" s="1"/>
  <c r="N92" i="140"/>
  <c r="N86" i="151"/>
  <c r="N89" i="151" s="1"/>
  <c r="N90" i="151" s="1"/>
  <c r="J83" i="151"/>
  <c r="J85" i="151"/>
  <c r="J81" i="151"/>
  <c r="J84" i="151"/>
  <c r="J82" i="151"/>
  <c r="S92" i="140"/>
  <c r="H88" i="147" s="1"/>
  <c r="S86" i="151"/>
  <c r="S89" i="151" s="1"/>
  <c r="S90" i="151" s="1"/>
  <c r="K92" i="140"/>
  <c r="K86" i="151"/>
  <c r="K89" i="151" s="1"/>
  <c r="K90" i="151" s="1"/>
  <c r="J99" i="140"/>
  <c r="J126" i="151"/>
  <c r="H124" i="151"/>
  <c r="H99" i="140" s="1"/>
  <c r="R86" i="151"/>
  <c r="R89" i="151" s="1"/>
  <c r="R90" i="151" s="1"/>
  <c r="R92" i="140"/>
  <c r="G88" i="147" s="1"/>
  <c r="O92" i="140"/>
  <c r="O86" i="151"/>
  <c r="O89" i="151" s="1"/>
  <c r="O90" i="151" s="1"/>
  <c r="M92" i="140"/>
  <c r="M86" i="151"/>
  <c r="M89" i="151" s="1"/>
  <c r="M90" i="151" s="1"/>
  <c r="P92" i="140"/>
  <c r="P86" i="151"/>
  <c r="P89" i="151" s="1"/>
  <c r="P90" i="151" s="1"/>
  <c r="L92" i="140"/>
  <c r="L86" i="151"/>
  <c r="L89" i="151" s="1"/>
  <c r="L90" i="151" s="1"/>
  <c r="U92" i="140"/>
  <c r="J88" i="147" s="1"/>
  <c r="U86" i="151"/>
  <c r="U89" i="151" s="1"/>
  <c r="U90" i="151" s="1"/>
  <c r="V86" i="151"/>
  <c r="V89" i="151" s="1"/>
  <c r="V90" i="151" s="1"/>
  <c r="V92" i="140"/>
  <c r="K88" i="147" s="1"/>
  <c r="S59" i="151" l="1"/>
  <c r="S62" i="151" s="1"/>
  <c r="S63" i="151" s="1"/>
  <c r="M55" i="151"/>
  <c r="M88" i="140" s="1"/>
  <c r="M58" i="151"/>
  <c r="M91" i="140" s="1"/>
  <c r="M53" i="151"/>
  <c r="M57" i="151"/>
  <c r="M90" i="140" s="1"/>
  <c r="M56" i="151"/>
  <c r="M89" i="140" s="1"/>
  <c r="M54" i="151"/>
  <c r="M87" i="140" s="1"/>
  <c r="T58" i="151"/>
  <c r="T91" i="140" s="1"/>
  <c r="I87" i="147" s="1"/>
  <c r="T56" i="151"/>
  <c r="T89" i="140" s="1"/>
  <c r="I85" i="147" s="1"/>
  <c r="T57" i="151"/>
  <c r="T90" i="140" s="1"/>
  <c r="I86" i="147" s="1"/>
  <c r="T54" i="151"/>
  <c r="T87" i="140" s="1"/>
  <c r="I83" i="147" s="1"/>
  <c r="T55" i="151"/>
  <c r="T88" i="140" s="1"/>
  <c r="I84" i="147" s="1"/>
  <c r="T53" i="151"/>
  <c r="Q57" i="151"/>
  <c r="Q90" i="140" s="1"/>
  <c r="Q53" i="151"/>
  <c r="Q54" i="151"/>
  <c r="Q87" i="140" s="1"/>
  <c r="Q55" i="151"/>
  <c r="Q88" i="140" s="1"/>
  <c r="Q58" i="151"/>
  <c r="Q91" i="140" s="1"/>
  <c r="Q56" i="151"/>
  <c r="Q89" i="140" s="1"/>
  <c r="V53" i="151"/>
  <c r="V54" i="151"/>
  <c r="V87" i="140" s="1"/>
  <c r="K83" i="147" s="1"/>
  <c r="V56" i="151"/>
  <c r="V89" i="140" s="1"/>
  <c r="K85" i="147" s="1"/>
  <c r="V57" i="151"/>
  <c r="V90" i="140" s="1"/>
  <c r="K86" i="147" s="1"/>
  <c r="V58" i="151"/>
  <c r="V91" i="140" s="1"/>
  <c r="K87" i="147" s="1"/>
  <c r="V55" i="151"/>
  <c r="V88" i="140" s="1"/>
  <c r="K84" i="147" s="1"/>
  <c r="P54" i="151"/>
  <c r="P87" i="140" s="1"/>
  <c r="P57" i="151"/>
  <c r="P90" i="140" s="1"/>
  <c r="P53" i="151"/>
  <c r="P55" i="151"/>
  <c r="P88" i="140" s="1"/>
  <c r="P56" i="151"/>
  <c r="P89" i="140" s="1"/>
  <c r="P58" i="151"/>
  <c r="P91" i="140" s="1"/>
  <c r="L53" i="151"/>
  <c r="L56" i="151"/>
  <c r="L89" i="140" s="1"/>
  <c r="L57" i="151"/>
  <c r="L90" i="140" s="1"/>
  <c r="L58" i="151"/>
  <c r="L91" i="140" s="1"/>
  <c r="L55" i="151"/>
  <c r="L88" i="140" s="1"/>
  <c r="L54" i="151"/>
  <c r="L87" i="140" s="1"/>
  <c r="K54" i="151"/>
  <c r="K87" i="140" s="1"/>
  <c r="K57" i="151"/>
  <c r="K90" i="140" s="1"/>
  <c r="K58" i="151"/>
  <c r="K91" i="140" s="1"/>
  <c r="K56" i="151"/>
  <c r="K89" i="140" s="1"/>
  <c r="K53" i="151"/>
  <c r="K55" i="151"/>
  <c r="K88" i="140" s="1"/>
  <c r="N54" i="151"/>
  <c r="N87" i="140" s="1"/>
  <c r="N56" i="151"/>
  <c r="N89" i="140" s="1"/>
  <c r="N55" i="151"/>
  <c r="N88" i="140" s="1"/>
  <c r="N53" i="151"/>
  <c r="N58" i="151"/>
  <c r="N91" i="140" s="1"/>
  <c r="N57" i="151"/>
  <c r="N90" i="140" s="1"/>
  <c r="O57" i="151"/>
  <c r="O90" i="140" s="1"/>
  <c r="O53" i="151"/>
  <c r="O55" i="151"/>
  <c r="O88" i="140" s="1"/>
  <c r="O54" i="151"/>
  <c r="O87" i="140" s="1"/>
  <c r="O58" i="151"/>
  <c r="O91" i="140" s="1"/>
  <c r="O56" i="151"/>
  <c r="O89" i="140" s="1"/>
  <c r="V83" i="140"/>
  <c r="K79" i="147" s="1"/>
  <c r="V26" i="151"/>
  <c r="V29" i="151" s="1"/>
  <c r="V30" i="151" s="1"/>
  <c r="J59" i="151"/>
  <c r="J86" i="140"/>
  <c r="P26" i="151"/>
  <c r="P29" i="151" s="1"/>
  <c r="P30" i="151" s="1"/>
  <c r="P83" i="140"/>
  <c r="J89" i="140"/>
  <c r="J90" i="140"/>
  <c r="U83" i="140"/>
  <c r="J79" i="147" s="1"/>
  <c r="U26" i="151"/>
  <c r="U29" i="151" s="1"/>
  <c r="U30" i="151" s="1"/>
  <c r="R26" i="151"/>
  <c r="R29" i="151" s="1"/>
  <c r="R30" i="151" s="1"/>
  <c r="R83" i="140"/>
  <c r="G79" i="147" s="1"/>
  <c r="J87" i="140"/>
  <c r="L26" i="151"/>
  <c r="L29" i="151" s="1"/>
  <c r="L30" i="151" s="1"/>
  <c r="L83" i="140"/>
  <c r="K83" i="140"/>
  <c r="K26" i="151"/>
  <c r="K29" i="151" s="1"/>
  <c r="K30" i="151" s="1"/>
  <c r="O26" i="151"/>
  <c r="O29" i="151" s="1"/>
  <c r="O30" i="151" s="1"/>
  <c r="O85" i="140"/>
  <c r="T26" i="151"/>
  <c r="T29" i="151" s="1"/>
  <c r="T30" i="151" s="1"/>
  <c r="T83" i="140"/>
  <c r="I79" i="147" s="1"/>
  <c r="S26" i="151"/>
  <c r="S29" i="151" s="1"/>
  <c r="S30" i="151" s="1"/>
  <c r="S83" i="140"/>
  <c r="H79" i="147" s="1"/>
  <c r="J88" i="140"/>
  <c r="J91" i="140"/>
  <c r="N83" i="140"/>
  <c r="N26" i="151"/>
  <c r="N29" i="151" s="1"/>
  <c r="N30" i="151" s="1"/>
  <c r="M83" i="140"/>
  <c r="M26" i="151"/>
  <c r="M29" i="151" s="1"/>
  <c r="M30" i="151" s="1"/>
  <c r="J25" i="151"/>
  <c r="J23" i="151"/>
  <c r="J24" i="151"/>
  <c r="Q83" i="140"/>
  <c r="Q26" i="151"/>
  <c r="Q29" i="151" s="1"/>
  <c r="Q30" i="151" s="1"/>
  <c r="J97" i="140"/>
  <c r="H104" i="151"/>
  <c r="H97" i="140" s="1"/>
  <c r="J106" i="151"/>
  <c r="H105" i="151"/>
  <c r="H98" i="140" s="1"/>
  <c r="J98" i="140"/>
  <c r="H85" i="151"/>
  <c r="H96" i="140" s="1"/>
  <c r="J96" i="140"/>
  <c r="H126" i="151"/>
  <c r="H129" i="151" s="1"/>
  <c r="J129" i="151"/>
  <c r="J130" i="151" s="1"/>
  <c r="F130" i="151" s="1"/>
  <c r="F20" i="153" s="1"/>
  <c r="J86" i="151"/>
  <c r="J92" i="140"/>
  <c r="H81" i="151"/>
  <c r="H92" i="140" s="1"/>
  <c r="J93" i="140"/>
  <c r="H82" i="151"/>
  <c r="H93" i="140" s="1"/>
  <c r="H83" i="151"/>
  <c r="H94" i="140" s="1"/>
  <c r="J94" i="140"/>
  <c r="H84" i="151"/>
  <c r="H95" i="140" s="1"/>
  <c r="J95" i="140"/>
  <c r="O59" i="151" l="1"/>
  <c r="O62" i="151" s="1"/>
  <c r="O63" i="151" s="1"/>
  <c r="O86" i="140"/>
  <c r="N59" i="151"/>
  <c r="N62" i="151" s="1"/>
  <c r="N63" i="151" s="1"/>
  <c r="N86" i="140"/>
  <c r="Q59" i="151"/>
  <c r="Q62" i="151" s="1"/>
  <c r="Q63" i="151" s="1"/>
  <c r="Q86" i="140"/>
  <c r="H58" i="151"/>
  <c r="H91" i="140" s="1"/>
  <c r="H53" i="151"/>
  <c r="H86" i="140" s="1"/>
  <c r="K59" i="151"/>
  <c r="K62" i="151" s="1"/>
  <c r="K63" i="151" s="1"/>
  <c r="K86" i="140"/>
  <c r="H57" i="151"/>
  <c r="H90" i="140" s="1"/>
  <c r="T59" i="151"/>
  <c r="T62" i="151" s="1"/>
  <c r="T63" i="151" s="1"/>
  <c r="T86" i="140"/>
  <c r="I82" i="147" s="1"/>
  <c r="H55" i="151"/>
  <c r="H88" i="140" s="1"/>
  <c r="H54" i="151"/>
  <c r="H87" i="140" s="1"/>
  <c r="H56" i="151"/>
  <c r="H89" i="140" s="1"/>
  <c r="L86" i="140"/>
  <c r="L59" i="151"/>
  <c r="L62" i="151" s="1"/>
  <c r="L63" i="151" s="1"/>
  <c r="P59" i="151"/>
  <c r="P62" i="151" s="1"/>
  <c r="P63" i="151" s="1"/>
  <c r="P86" i="140"/>
  <c r="V86" i="140"/>
  <c r="K82" i="147" s="1"/>
  <c r="V59" i="151"/>
  <c r="V62" i="151" s="1"/>
  <c r="V63" i="151" s="1"/>
  <c r="M59" i="151"/>
  <c r="M62" i="151" s="1"/>
  <c r="M63" i="151" s="1"/>
  <c r="M86" i="140"/>
  <c r="J62" i="151"/>
  <c r="J63" i="151" s="1"/>
  <c r="J84" i="140"/>
  <c r="H24" i="151"/>
  <c r="H84" i="140" s="1"/>
  <c r="J85" i="140"/>
  <c r="H25" i="151"/>
  <c r="H85" i="140" s="1"/>
  <c r="J26" i="151"/>
  <c r="J83" i="140"/>
  <c r="H23" i="151"/>
  <c r="H83" i="140" s="1"/>
  <c r="H106" i="151"/>
  <c r="H109" i="151" s="1"/>
  <c r="J109" i="151"/>
  <c r="J110" i="151" s="1"/>
  <c r="F110" i="151" s="1"/>
  <c r="F19" i="153" s="1"/>
  <c r="J89" i="151"/>
  <c r="J90" i="151" s="1"/>
  <c r="F90" i="151" s="1"/>
  <c r="F18" i="153" s="1"/>
  <c r="H86" i="151"/>
  <c r="H89" i="151" s="1"/>
  <c r="F63" i="151" l="1"/>
  <c r="F17" i="153" s="1"/>
  <c r="H59" i="151"/>
  <c r="H62" i="151" s="1"/>
  <c r="J29" i="151"/>
  <c r="J30" i="151" s="1"/>
  <c r="F30" i="151" s="1"/>
  <c r="F16" i="153" s="1"/>
  <c r="H26" i="151"/>
  <c r="H29" i="151" s="1"/>
  <c r="F11" i="153" l="1"/>
  <c r="F2" i="17" s="1"/>
  <c r="F2" i="66" l="1"/>
  <c r="F2" i="153"/>
  <c r="F2" i="151"/>
  <c r="F2" i="141"/>
  <c r="F2" i="140"/>
  <c r="F2" i="139"/>
  <c r="D19" i="144"/>
  <c r="F2" i="1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Chona Labor</author>
  </authors>
  <commentList>
    <comment ref="E29" authorId="0" shapeId="0" xr:uid="{00000000-0006-0000-0000-000001000000}">
      <text>
        <r>
          <rPr>
            <sz val="9"/>
            <color indexed="81"/>
            <rFont val="Arial"/>
            <family val="2"/>
          </rPr>
          <t>E.g., internal / external assurance. Evidence will be required</t>
        </r>
      </text>
    </comment>
    <comment ref="E50" authorId="0" shapeId="0" xr:uid="{00000000-0006-0000-0000-000002000000}">
      <text>
        <r>
          <rPr>
            <sz val="9"/>
            <color indexed="81"/>
            <rFont val="Tahoma"/>
            <family val="2"/>
          </rPr>
          <t>Please click Yes/No to confirm signature</t>
        </r>
      </text>
    </comment>
  </commentList>
</comments>
</file>

<file path=xl/sharedStrings.xml><?xml version="1.0" encoding="utf-8"?>
<sst xmlns="http://schemas.openxmlformats.org/spreadsheetml/2006/main" count="1742" uniqueCount="907">
  <si>
    <r>
      <rPr>
        <b/>
        <sz val="12"/>
        <color theme="1"/>
        <rFont val="Arial"/>
        <family val="2"/>
      </rPr>
      <t>Model QA Completion Checklist - Information</t>
    </r>
    <r>
      <rPr>
        <sz val="10"/>
        <rFont val="Arial"/>
        <family val="2"/>
      </rPr>
      <t xml:space="preserve">
</t>
    </r>
    <r>
      <rPr>
        <i/>
        <sz val="11"/>
        <color theme="1"/>
        <rFont val="Arial"/>
        <family val="2"/>
      </rPr>
      <t>(Please complete all fields in green)</t>
    </r>
  </si>
  <si>
    <t>Model Information</t>
  </si>
  <si>
    <t>Name of Model</t>
  </si>
  <si>
    <t>PR19PD011 Revenue adjustments feeder model 01k - July 2018 update</t>
  </si>
  <si>
    <t>Model code</t>
  </si>
  <si>
    <t>PR19PD011</t>
  </si>
  <si>
    <t>Date complete</t>
  </si>
  <si>
    <t>Version</t>
  </si>
  <si>
    <t>July 2018 update</t>
  </si>
  <si>
    <t>Purpose of Model</t>
  </si>
  <si>
    <t>The model is designed to take the revenue adjustment outputs from the PR09 and PR14 reconciliations and convert them for use in the PR19 financial model in line with Delivering Water 2020: PR19 methodology, chapter 12 (accounting for past delivery).</t>
  </si>
  <si>
    <t>File name</t>
  </si>
  <si>
    <t>Team Information</t>
  </si>
  <si>
    <t>Senior Responsible Officer (SRO) / Director</t>
  </si>
  <si>
    <t>Jacob Wood</t>
  </si>
  <si>
    <t>Modeller(s)</t>
  </si>
  <si>
    <t>Angela De Carlo, George Miller</t>
  </si>
  <si>
    <t>Reviewer(s)</t>
  </si>
  <si>
    <t>Dawn Harrison</t>
  </si>
  <si>
    <t>Checklist</t>
  </si>
  <si>
    <t>Data</t>
  </si>
  <si>
    <t>Please select</t>
  </si>
  <si>
    <t>Have all inputs been sourced referenced?</t>
  </si>
  <si>
    <t>Yes</t>
  </si>
  <si>
    <t>Is the data used being downloaded from Fountain?</t>
  </si>
  <si>
    <t>Are there any non-Fountain data used (if so, please list)</t>
  </si>
  <si>
    <t xml:space="preserve">     1) Model setting parameter values</t>
  </si>
  <si>
    <t xml:space="preserve">     2)</t>
  </si>
  <si>
    <t xml:space="preserve">     3)</t>
  </si>
  <si>
    <t xml:space="preserve">     4)</t>
  </si>
  <si>
    <t>If YES to above, what controls are in place for its accuracy and updating external data inputs?</t>
  </si>
  <si>
    <t>The parameter values are populated in the master and are not expected to be changed by the modeller. The reviewer will check the model has been populated correctly. The parameter values used in the model are outputed on the F_Outputs sheet to assist QA.</t>
  </si>
  <si>
    <r>
      <rPr>
        <b/>
        <sz val="12"/>
        <color theme="1"/>
        <rFont val="Arial"/>
        <family val="2"/>
      </rPr>
      <t>Model QA Completion Checklist - Assurance</t>
    </r>
    <r>
      <rPr>
        <sz val="10"/>
        <rFont val="Arial"/>
        <family val="2"/>
      </rPr>
      <t xml:space="preserve">
</t>
    </r>
    <r>
      <rPr>
        <i/>
        <sz val="11"/>
        <color theme="1"/>
        <rFont val="Arial"/>
        <family val="2"/>
      </rPr>
      <t>(Please complete all fields in green)</t>
    </r>
  </si>
  <si>
    <t>Model build</t>
  </si>
  <si>
    <t>Completed by</t>
  </si>
  <si>
    <t>Date completed</t>
  </si>
  <si>
    <t>QA'd by</t>
  </si>
  <si>
    <t>Date QA'd</t>
  </si>
  <si>
    <t>Risk, issues and changes log updated</t>
  </si>
  <si>
    <t>N/A</t>
  </si>
  <si>
    <t>Model specification updated to reflect any agreed changes during the model run process {only during model runs}</t>
  </si>
  <si>
    <t>Is the model in FAST modelling standards?</t>
  </si>
  <si>
    <t>Documentation / User Guide completed
{can be a worksheet in the model}</t>
  </si>
  <si>
    <t>Has the Analytical assurer signed-off the model?</t>
  </si>
  <si>
    <t>DMT (Fenella Brown)</t>
  </si>
  <si>
    <t>Quality assurance</t>
  </si>
  <si>
    <t>Are there any structural / method change to the model from last run? {Tip: Use OAK, ASAP for comparison}</t>
  </si>
  <si>
    <t>No</t>
  </si>
  <si>
    <t>If YES to above, have these been recorded in the changes log?</t>
  </si>
  <si>
    <t>Has the model been QA’d in this run?</t>
  </si>
  <si>
    <t>Have the outputs been checked and are they correct?</t>
  </si>
  <si>
    <t>SRO Approval</t>
  </si>
  <si>
    <t>Date signed:</t>
  </si>
  <si>
    <t>FOUNTAIN_INSTANCE_URL</t>
  </si>
  <si>
    <t>https://fntlive201/Fountain/rest-services_XLSPF</t>
  </si>
  <si>
    <t>companyId</t>
  </si>
  <si>
    <t>75_XLSPF</t>
  </si>
  <si>
    <t>companyName</t>
  </si>
  <si>
    <t>Yorkshire Water Services Ltd_XLSPF</t>
  </si>
  <si>
    <t>inputRunName</t>
  </si>
  <si>
    <t>PR19 RUN 1: early view of past delivery_XLSPF</t>
  </si>
  <si>
    <t>inputRunId</t>
  </si>
  <si>
    <t>124_XLSPF</t>
  </si>
  <si>
    <t>outputRunName</t>
  </si>
  <si>
    <t>outputRunId</t>
  </si>
  <si>
    <t>tagName</t>
  </si>
  <si>
    <t>latest_XLSPF</t>
  </si>
  <si>
    <t>tagId</t>
  </si>
  <si>
    <t>0_XLSPF</t>
  </si>
  <si>
    <t>agendaId</t>
  </si>
  <si>
    <t>12_XLSPF</t>
  </si>
  <si>
    <t>F_Inputs_TABLE_ID</t>
  </si>
  <si>
    <t>12215_XLSPF</t>
  </si>
  <si>
    <t>F_Inputs_TEAM</t>
  </si>
  <si>
    <t>Fountain Plugin Users_XLSPF</t>
  </si>
  <si>
    <t>F_Inputs_USER</t>
  </si>
  <si>
    <t>OFWAT\Dawn.Harrison_XLSPF</t>
  </si>
  <si>
    <t>F_Inputs_NAME</t>
  </si>
  <si>
    <t>PR19PD011_IN_XLSPF</t>
  </si>
  <si>
    <t>F_Inputs_TITLE</t>
  </si>
  <si>
    <t>_XLSPF</t>
  </si>
  <si>
    <t>inputSheetLastUpdated</t>
  </si>
  <si>
    <t>10/10/2018 12:13:58_XLSPF</t>
  </si>
  <si>
    <t>EXTERNAL_MODEL_NAME</t>
  </si>
  <si>
    <t>PR19PD011_XLSPF</t>
  </si>
  <si>
    <t>EXTERNAL_MODEL_CODE</t>
  </si>
  <si>
    <t>EXTERNAL_MODEL_FAMILY</t>
  </si>
  <si>
    <t>JR_XLSPF</t>
  </si>
  <si>
    <t>FOUNTAIN_REPORT</t>
  </si>
  <si>
    <t>2664_XLSPF</t>
  </si>
  <si>
    <t>F_Outputs_TABLE_ID</t>
  </si>
  <si>
    <t>12261_XLSPF</t>
  </si>
  <si>
    <t>F_Outputs_TEAM</t>
  </si>
  <si>
    <t>IPL_XLSPF</t>
  </si>
  <si>
    <t>F_Outputs_USER</t>
  </si>
  <si>
    <t>F_Outputs_NAME</t>
  </si>
  <si>
    <t>PR19PD011_OUT_XLSPF</t>
  </si>
  <si>
    <t>F_Outputs_TITLE</t>
  </si>
  <si>
    <t>XXX_XLSPF</t>
  </si>
  <si>
    <t>outputSheetLastSent</t>
  </si>
  <si>
    <t>09/10/2018 17:07:35_XLSPF</t>
  </si>
  <si>
    <t>PR19PD011_IN</t>
  </si>
  <si>
    <t>Acronym</t>
  </si>
  <si>
    <t>Reference</t>
  </si>
  <si>
    <t>Item description</t>
  </si>
  <si>
    <t>Unit</t>
  </si>
  <si>
    <t>Model</t>
  </si>
  <si>
    <t>Price Review 2019</t>
  </si>
  <si>
    <t>PR19 RUN 1: early view of past delivery</t>
  </si>
  <si>
    <t>Latest</t>
  </si>
  <si>
    <t>2011-12</t>
  </si>
  <si>
    <t>2012-13</t>
  </si>
  <si>
    <t>2013-14</t>
  </si>
  <si>
    <t>2014-15</t>
  </si>
  <si>
    <t>2015-16</t>
  </si>
  <si>
    <t>2016-17</t>
  </si>
  <si>
    <t>2017-18</t>
  </si>
  <si>
    <t>2018-19</t>
  </si>
  <si>
    <t>2019-20</t>
  </si>
  <si>
    <t>2020-21</t>
  </si>
  <si>
    <t>2015-20</t>
  </si>
  <si>
    <t>2014-20</t>
  </si>
  <si>
    <t>PR19 application</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</si>
  <si>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</si>
  <si>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</si>
  <si>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</si>
  <si>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</si>
  <si>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</si>
  <si>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</si>
  <si>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</si>
  <si>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</si>
  <si>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</si>
  <si>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</si>
  <si>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</si>
  <si>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</si>
  <si>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</si>
  <si>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</si>
  <si>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</si>
  <si>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</si>
  <si>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</si>
  <si>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</si>
  <si>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</si>
  <si>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</si>
  <si>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</si>
  <si>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</si>
  <si>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</si>
  <si>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</si>
  <si>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</si>
  <si>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BB3805AL</t>
  </si>
  <si>
    <t>Retail Price Index for April</t>
  </si>
  <si>
    <t>BB3805MY</t>
  </si>
  <si>
    <t>Retail Price Index for May</t>
  </si>
  <si>
    <t>BB3805JN</t>
  </si>
  <si>
    <t>Retail Price Index for June</t>
  </si>
  <si>
    <t>BB3805JL</t>
  </si>
  <si>
    <t>Retail Price Index for July</t>
  </si>
  <si>
    <t>BB3805AT</t>
  </si>
  <si>
    <t>Retail Price Index for August</t>
  </si>
  <si>
    <t>BB3805SR</t>
  </si>
  <si>
    <t>Retail Price Index for September</t>
  </si>
  <si>
    <t>BB3805OR</t>
  </si>
  <si>
    <t>Retail Price Index for October</t>
  </si>
  <si>
    <t>BB3805NR</t>
  </si>
  <si>
    <t>Retail Price Index for November</t>
  </si>
  <si>
    <t>BB3805DR</t>
  </si>
  <si>
    <t>Retail Price Index for December</t>
  </si>
  <si>
    <t>BB3805JY</t>
  </si>
  <si>
    <t>Retail Price Index for January</t>
  </si>
  <si>
    <t>BB3805FY</t>
  </si>
  <si>
    <t>Retail Price Index for February</t>
  </si>
  <si>
    <t>BB3805MH</t>
  </si>
  <si>
    <t>Retail Price Index for March</t>
  </si>
  <si>
    <t>C_APP27015_PD002</t>
  </si>
  <si>
    <t>Net performance payment / (penalty) applied to revenue for in-period ODI adjustments ~ Water resources</t>
  </si>
  <si>
    <t>£m</t>
  </si>
  <si>
    <t>C_APP27022_PD002</t>
  </si>
  <si>
    <t>Net performance payment / (penalty) applied to revenue for end of period ODI adjustments ~ Water resources</t>
  </si>
  <si>
    <t>C_WS17013_PR19D007</t>
  </si>
  <si>
    <t>Incentives to be paid at PR19 - Water resources control - Export incentives (2012-13 prices)</t>
  </si>
  <si>
    <t>C_WS17025_PR19D007</t>
  </si>
  <si>
    <t>Incentives to be paid at PR19 - Water resources control - Import incentives  (2012-13 prices)</t>
  </si>
  <si>
    <t>C00578_L021</t>
  </si>
  <si>
    <t>Water - Total Adjustment Revenue carry forward to PR19</t>
  </si>
  <si>
    <t>C_APP27016_PD002</t>
  </si>
  <si>
    <t>Net performance payment / (penalty) applied to revenue for in-period ODI adjustments ~ Water network plus</t>
  </si>
  <si>
    <t>C_APP27023_PD002</t>
  </si>
  <si>
    <t>Net performance payment / (penalty) applied to revenue for end of period ODI adjustments ~ Water network plus</t>
  </si>
  <si>
    <t>C_WS15024_PR19PD006</t>
  </si>
  <si>
    <t>Water: revenue adjustment from totex menu model</t>
  </si>
  <si>
    <t>C_WS17014_PR19D007</t>
  </si>
  <si>
    <t>Incentives to be paid at PR19 - Network plus water control - Export incentives (2012-13 prices)</t>
  </si>
  <si>
    <t>C_WS17026_PR19D007</t>
  </si>
  <si>
    <t>Incentives to be paid at PR19 - Network plus water control - Import incentives (2012-13 prices)</t>
  </si>
  <si>
    <t>C_WS13026_PR19PD005</t>
  </si>
  <si>
    <t>Total reward / (penalty) at the end of AMP6 - water</t>
  </si>
  <si>
    <t>C_APP27018_PD002</t>
  </si>
  <si>
    <t>Net performance payment / (penalty) applied to revenue for in-period ODI adjustments ~ Bioresources</t>
  </si>
  <si>
    <t>C_APP27025_PD002</t>
  </si>
  <si>
    <t>Net performance payment / (penalty) applied to revenue for end of period ODI adjustments ~ Bioresources</t>
  </si>
  <si>
    <t>C00585_L021</t>
  </si>
  <si>
    <t>Wastewater - Total Adjustment Revenue carry forward to PR19</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</si>
  <si>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</si>
  <si>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</si>
  <si>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</si>
  <si>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</si>
  <si>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C_WWS15019_PR19PD006</t>
  </si>
  <si>
    <t>Wastewater: revenue adjustment from totex menu model</t>
  </si>
  <si>
    <t>C_WWS13026_PR19PD005</t>
  </si>
  <si>
    <t>Total reward / (penalty) at the end of AMP6 - waste</t>
  </si>
  <si>
    <t>C_WWS15019_DMMY_PR19PD006</t>
  </si>
  <si>
    <t>Wastewater: revenue adjustment from totex menu model (TTT)</t>
  </si>
  <si>
    <t>C_WWS13026_DMMY_PR19PD005</t>
  </si>
  <si>
    <t>Total reward / (penalty) at the end of AMP6 - dmmy</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</si>
  <si>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</si>
  <si>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</si>
  <si>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</si>
  <si>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</si>
  <si>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C_R9045_PR19PD008</t>
  </si>
  <si>
    <t>Total reward / (penalty) at the end of AMP6 - Residential retail revenue adjustment at the end of AMP6</t>
  </si>
  <si>
    <t>C_R10009_PR19PD009</t>
  </si>
  <si>
    <t>SIM adjustment - Household retail £m</t>
  </si>
  <si>
    <t>C_APP27020_PD002</t>
  </si>
  <si>
    <t>Net performance payment / (penalty) applied to revenue for in-period ODI adjustments ~ Business retail</t>
  </si>
  <si>
    <t>C_APP27027_PD002</t>
  </si>
  <si>
    <t>Net performance payment / (penalty) applied to revenue for end of period ODI adjustments ~ Business retail</t>
  </si>
  <si>
    <t>PR19PD011_OUT</t>
  </si>
  <si>
    <t>2021-22</t>
  </si>
  <si>
    <t>2022-23</t>
  </si>
  <si>
    <t>2023-24</t>
  </si>
  <si>
    <t>2024-25</t>
  </si>
  <si>
    <t>C001_PR19PD011</t>
  </si>
  <si>
    <t>1st model column start date</t>
  </si>
  <si>
    <t>C002_PR19PD011</t>
  </si>
  <si>
    <t>First modelling column financial year#</t>
  </si>
  <si>
    <t>C003_PR19PD011</t>
  </si>
  <si>
    <t>Financial year end month number</t>
  </si>
  <si>
    <t>C004_PR19PD011</t>
  </si>
  <si>
    <t>Pre - forecast period</t>
  </si>
  <si>
    <t>Text</t>
  </si>
  <si>
    <t>C005_PR19PD011</t>
  </si>
  <si>
    <t>Forecast period</t>
  </si>
  <si>
    <t>C006_PR19PD011</t>
  </si>
  <si>
    <t>Post - forecast period</t>
  </si>
  <si>
    <t>C007_PR19PD011</t>
  </si>
  <si>
    <t>Forecast start date</t>
  </si>
  <si>
    <t>C008_PR19PD011</t>
  </si>
  <si>
    <t>Forecast duration</t>
  </si>
  <si>
    <t>C009_PR19PD011</t>
  </si>
  <si>
    <t>Forecast duration (text)</t>
  </si>
  <si>
    <t>C010_PR19PD011</t>
  </si>
  <si>
    <t>Inflation: Year reference for FYA base price 1</t>
  </si>
  <si>
    <t>C011_PR19PD011</t>
  </si>
  <si>
    <t>Inflation: Year reference for FYA base price 2</t>
  </si>
  <si>
    <t>C012_PR19PD011</t>
  </si>
  <si>
    <t>Inflation: Year reference for FYE base price 1</t>
  </si>
  <si>
    <t>C013_PR19PD011</t>
  </si>
  <si>
    <t>Inflation: Year reference for FYE base price 2</t>
  </si>
  <si>
    <t>C014_PR19PD011</t>
  </si>
  <si>
    <t>Inflation: Year reference for FYE end price</t>
  </si>
  <si>
    <t>C015_PR19PD011</t>
  </si>
  <si>
    <t>Deflation: Year reference for FYE base price</t>
  </si>
  <si>
    <t>C016_PR19PD011</t>
  </si>
  <si>
    <t>Deflation: Year reference for FYA end price</t>
  </si>
  <si>
    <t>C017_PR19PD011</t>
  </si>
  <si>
    <t>Months per model period</t>
  </si>
  <si>
    <t>C018_PR19PD011</t>
  </si>
  <si>
    <t>Months in a year</t>
  </si>
  <si>
    <t>C019_PR19PD011</t>
  </si>
  <si>
    <t>Days in a year</t>
  </si>
  <si>
    <t>C020_PR19PD011</t>
  </si>
  <si>
    <t>PV base date</t>
  </si>
  <si>
    <t>C040_PR19PD011</t>
  </si>
  <si>
    <t>Discount rate - Water resources</t>
  </si>
  <si>
    <t>%</t>
  </si>
  <si>
    <t>C050_PR19PD011</t>
  </si>
  <si>
    <t>Discount rate - Water network plus</t>
  </si>
  <si>
    <t>C060_PR19PD011</t>
  </si>
  <si>
    <t>Discount rate - Bioresources</t>
  </si>
  <si>
    <t>C070_PR19PD011</t>
  </si>
  <si>
    <t>Discount rate - Wastewater network plus</t>
  </si>
  <si>
    <t>C080_PR19PD011</t>
  </si>
  <si>
    <t>Discount rate - Dummy control</t>
  </si>
  <si>
    <t>C090_PR19PD011</t>
  </si>
  <si>
    <t>Discount rate - Residential retail</t>
  </si>
  <si>
    <t>C100_PR19PD011</t>
  </si>
  <si>
    <t>Discount rate - Business retail</t>
  </si>
  <si>
    <t>C030_PR19PD011</t>
  </si>
  <si>
    <t>Number of years to profile over</t>
  </si>
  <si>
    <t>C041_PR19PD011</t>
  </si>
  <si>
    <t>Water resources revenue adjustment selector</t>
  </si>
  <si>
    <t>C051_PR19PD011</t>
  </si>
  <si>
    <t>Water network plus revenue adjustment selector</t>
  </si>
  <si>
    <t>C061_PR19PD011</t>
  </si>
  <si>
    <t>Bioesources revenue adjustment selector</t>
  </si>
  <si>
    <t>C071_PR19PD011</t>
  </si>
  <si>
    <t>Wastewater network plus revenue adjustment selector</t>
  </si>
  <si>
    <t>C081_PR19PD011</t>
  </si>
  <si>
    <t>Dummy control revenue adjustment selector</t>
  </si>
  <si>
    <t>C091_PR19PD011</t>
  </si>
  <si>
    <t>Residential retail revenue adjustment selector</t>
  </si>
  <si>
    <t>C101_PR19PD011</t>
  </si>
  <si>
    <t>Business retail revenue adjustment selector</t>
  </si>
  <si>
    <t>C_APP25004_PR19PD011</t>
  </si>
  <si>
    <t>Further 2010-15 reconciliation total adjustment revenue carry forward to PR19 ~ Water network plus at 2017-18 FYA CPIH deflated price base</t>
  </si>
  <si>
    <t>C_APP25006_PR19PD011</t>
  </si>
  <si>
    <t>Further 2010-15 reconciliation total adjustment revenue carry forward to PR19 ~ Wastewater network plus at 2017-18 FYA CPIH deflated price base</t>
  </si>
  <si>
    <t>C_APP27034_PR19PD011</t>
  </si>
  <si>
    <t>ODI in-period revenue adjustment ~ Water resources at 2017-18 FYA CPIH deflated price base</t>
  </si>
  <si>
    <t>C_APP27035_PR19PD011</t>
  </si>
  <si>
    <t>ODI in-period revenue adjustment ~ Water network plus at 2017-18 FYA CPIH deflated price base</t>
  </si>
  <si>
    <t>C_APP27037_PR19PD011</t>
  </si>
  <si>
    <t>ODI in-period revenue adjustment ~ Bioresources at 2017-18 FYA CPIH deflated price base</t>
  </si>
  <si>
    <t>C_APP27036_PR19PD011</t>
  </si>
  <si>
    <t>ODI in-period revenue adjustment ~ Wastewater network plus at 2017-18 FYA CPIH deflated price base</t>
  </si>
  <si>
    <t>C_APP27038_PR19PD011</t>
  </si>
  <si>
    <t>ODI in-period revenue adjustment ~ Residential retail at 2017-18 FYA CPIH deflated price base</t>
  </si>
  <si>
    <t>C_APP27039_PR19PD011</t>
  </si>
  <si>
    <t>ODI in-period revenue adjustment ~ Business retail at 2017-18 FYA CPIH deflated price base</t>
  </si>
  <si>
    <t>C_APP27041_PR19PD011</t>
  </si>
  <si>
    <t>ODI end of period revenue adjustment ~ Water resources at 2017-18 FYA CPIH deflated price base</t>
  </si>
  <si>
    <t>C_APP27042_PR19PD011</t>
  </si>
  <si>
    <t>ODI end of period revenue adjustment ~ Water network plus at 2017-18 FYA CPIH deflated price base</t>
  </si>
  <si>
    <t>C_APP27044_PR19PD011</t>
  </si>
  <si>
    <t>ODI end of period revenue adjustment ~ Bioresources at 2017-18 FYA CPIH deflated price base</t>
  </si>
  <si>
    <t>C_APP27043_PR19PD011</t>
  </si>
  <si>
    <t>ODI end of period revenue adjustment ~ Wastewater network plus at 2017-18 FYA CPIH deflated price base</t>
  </si>
  <si>
    <t>C_APP27045_PR19PD011</t>
  </si>
  <si>
    <t>ODI end of period revenue adjustment ~ Residential retail at 2017-18 FYA CPIH deflated price base</t>
  </si>
  <si>
    <t>C_APP27046_PR19PD011</t>
  </si>
  <si>
    <t>ODI end of period revenue adjustment ~ Business retail at 2017-18 FYA CPIH deflated price base</t>
  </si>
  <si>
    <t>C_WS13027_PR19PD011</t>
  </si>
  <si>
    <t>WRFIM total reward / (penalty) at the end of AMP6 ~ Water network plus at 2017-18 FYA CPIH deflated price base</t>
  </si>
  <si>
    <t>C_WS15026_PR19PD011</t>
  </si>
  <si>
    <t>Water: Totex menu revenue adjustment at 2017-18 FYA CPIH deflated price base</t>
  </si>
  <si>
    <t>C_WS17027_PR19PD011</t>
  </si>
  <si>
    <t>Water trading total value of export incentive ~ Water resources at 2017-18 FYA CPIH deflated price base</t>
  </si>
  <si>
    <t>C_WS17028_PR19PD011</t>
  </si>
  <si>
    <t>Water trading total value of export incentive ~ Water network plus at 2017-18 FYA CPIH deflated price base</t>
  </si>
  <si>
    <t>C_WS17030_PR19PD011</t>
  </si>
  <si>
    <t>Water trading total value of import incentive ~ Water resources  at 2017-18 FYA CPIH deflated price base</t>
  </si>
  <si>
    <t>C_WS17031_PR19PD011</t>
  </si>
  <si>
    <t>Water trading total value of import incentive ~ Water network plus at 2017-18 FYA CPIH deflated price base</t>
  </si>
  <si>
    <t>C_WWS13027_PR19PD011</t>
  </si>
  <si>
    <t>WRFIM total reward / (penalty) at the end of AMP6 ~ Wastewater network plus at 2017-18 FYA CPIH deflated price base</t>
  </si>
  <si>
    <t>C_WWS15021_PR19PD011</t>
  </si>
  <si>
    <t>Wastewater: Totex menu revenue adjustment at 2017-18 FYA CPIH deflated price base</t>
  </si>
  <si>
    <t>C_WWS15021_DMMY_PR19PD011</t>
  </si>
  <si>
    <t>Dummy: revenue adjustment from totex menu model at 2017-18 FYA CPIH deflated price base</t>
  </si>
  <si>
    <t>C_WWS13027_DMMY_PR19PD011</t>
  </si>
  <si>
    <t>WRFIM total reward / (penalty) at the end of AMP6 ~ Dummy at 2017-18 FYA CPIH deflated price base</t>
  </si>
  <si>
    <t>C_R9046_PR19PD011</t>
  </si>
  <si>
    <t>Residential retail revenue adjustment at 2017-18 FYA CPIH deflated price base</t>
  </si>
  <si>
    <t>C_R10009_PR19PD011</t>
  </si>
  <si>
    <t>SIM forecast revenue adjustment at 2017-18 FYA CPIH deflated price base</t>
  </si>
  <si>
    <t>C048_PR19PD011</t>
  </si>
  <si>
    <t>Water resources revenue adjustment</t>
  </si>
  <si>
    <t>C058_PR19PD011</t>
  </si>
  <si>
    <t>Water network plus revenue adjustment</t>
  </si>
  <si>
    <t>C068_PR19PD011</t>
  </si>
  <si>
    <t>Bioresources revenue adjustment</t>
  </si>
  <si>
    <t>C078_PR19PD011</t>
  </si>
  <si>
    <t>Wastewater network plus revenue adjustment</t>
  </si>
  <si>
    <t>C088_PR19PD011</t>
  </si>
  <si>
    <t>Dummy control revenue adjustment</t>
  </si>
  <si>
    <t>C098_PR19PD011</t>
  </si>
  <si>
    <t>Residential retail revenue adjustment</t>
  </si>
  <si>
    <t>C108_PR19PD011</t>
  </si>
  <si>
    <t>Business retail revenue adjustment</t>
  </si>
  <si>
    <t>C049_PR19PD011</t>
  </si>
  <si>
    <t>Water resources revenue adjustment active</t>
  </si>
  <si>
    <t>C059_PR19PD011</t>
  </si>
  <si>
    <t>Water network revenue adjustment active</t>
  </si>
  <si>
    <t>C069_PR19PD011</t>
  </si>
  <si>
    <t>Bioresources revenue adjustment active</t>
  </si>
  <si>
    <t>C079_PR19PD011</t>
  </si>
  <si>
    <t>Wastewater network revenue adjustment active</t>
  </si>
  <si>
    <t>C089_PR19PD011</t>
  </si>
  <si>
    <t>Dummy control revenue adjustment active</t>
  </si>
  <si>
    <t>C099_PR19PD011</t>
  </si>
  <si>
    <t>Residential retail revenue adjustment active</t>
  </si>
  <si>
    <t>C109_PR19PD011</t>
  </si>
  <si>
    <t>Business retail revenue adjustment active</t>
  </si>
  <si>
    <t>C201_PR19PD011</t>
  </si>
  <si>
    <t>C202_PR19PD011</t>
  </si>
  <si>
    <t>C203_PR19PD011</t>
  </si>
  <si>
    <t>Water trading total value of incentive ~ Water resources at 2017-18 FYA CPIH deflated price base</t>
  </si>
  <si>
    <t>C211_PR19PD011</t>
  </si>
  <si>
    <t>C212_PR19PD011</t>
  </si>
  <si>
    <t>C213_PR19PD011</t>
  </si>
  <si>
    <t>C214_PR19PD011</t>
  </si>
  <si>
    <t>C215_PR19PD011</t>
  </si>
  <si>
    <t>C216_PR19PD011</t>
  </si>
  <si>
    <t>Water trading total value of incentive ~ Water network plus at 2017-18 FYA CPIH deflated price base</t>
  </si>
  <si>
    <t>C221_PR19PD011</t>
  </si>
  <si>
    <t>C222_PR19PD011</t>
  </si>
  <si>
    <t>C223_PR19PD011</t>
  </si>
  <si>
    <t>C224_PR19PD011</t>
  </si>
  <si>
    <t>C225_PR19PD011</t>
  </si>
  <si>
    <t>C231_PR19PD011</t>
  </si>
  <si>
    <t>C232_PR19PD011</t>
  </si>
  <si>
    <t>C241_PR19PD011</t>
  </si>
  <si>
    <t>C242_PR19PD011</t>
  </si>
  <si>
    <t>PR19QA_D0011_OUT_1</t>
  </si>
  <si>
    <t>Date &amp; Time for Model PR19D011 PR14 Revenue adjustments</t>
  </si>
  <si>
    <t>PR19QA_D0011_OUT_2</t>
  </si>
  <si>
    <t>Name &amp; Path of Model PR19D011 PR14 Revenenue adjustments</t>
  </si>
  <si>
    <t>Model name:</t>
  </si>
  <si>
    <t>PR19 Revenue adjustments feeder model</t>
  </si>
  <si>
    <t>Version number:</t>
  </si>
  <si>
    <t>01L - January 2019 update</t>
  </si>
  <si>
    <t>Filename:</t>
  </si>
  <si>
    <t>Date:</t>
  </si>
  <si>
    <t>Author:</t>
  </si>
  <si>
    <t>Ofwat and F1F9 UK Ltd</t>
  </si>
  <si>
    <t>Author contact information:</t>
  </si>
  <si>
    <t>PR19@ofwat.gsi.gov.uk</t>
  </si>
  <si>
    <t>Summary of model:</t>
  </si>
  <si>
    <t>The model is designed to take the revenue adjustment outputs from the PR09 and PR14 reconciliations and convert them for use in the PR19 financial</t>
  </si>
  <si>
    <t>model in line with Delivering Water 2020: PR19 methodology, chapter 12 (accounting for past delivery).</t>
  </si>
  <si>
    <t>Known limitations:</t>
  </si>
  <si>
    <t>The model has been subject to internal Ofwat quality assurance.</t>
  </si>
  <si>
    <t>Feedback:</t>
  </si>
  <si>
    <r>
      <t xml:space="preserve">We would welcome feedback on the PR19 revenue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</si>
  <si>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</si>
  <si>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</si>
  <si>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</si>
  <si>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</si>
  <si>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</si>
  <si>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</si>
  <si>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</si>
  <si>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</si>
  <si>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</si>
  <si>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</si>
  <si>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</si>
  <si>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</si>
  <si>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Profiling
Summary_Output</t>
  </si>
  <si>
    <t>In response to a query a new business plan table has been created. The Ofwat feeder model has been updated to reflect the additional table Dmmy10.</t>
  </si>
  <si>
    <t>Include the Dummy10 revenue adjustment.</t>
  </si>
  <si>
    <t>Inputs
Calc
Summary_Output</t>
  </si>
  <si>
    <t>Change email address</t>
  </si>
  <si>
    <t>Changed from water2020 mailbox to PR19 mailbox</t>
  </si>
  <si>
    <t>Cover</t>
  </si>
  <si>
    <t>In response to a query a new business plan table has been created. The Ofwat feeder model has been updated to reflect the additional table Dmmy11.</t>
  </si>
  <si>
    <t>Include the Dmmy11 revenue adjustment.</t>
  </si>
  <si>
    <t xml:space="preserve">The reprofiled adjustments we at a different level of granulairty to the level needed by the PR19 Financial model (FM). </t>
  </si>
  <si>
    <t>A new sheet (FM Proportion Calc) has been added to apportion the profiled revenue adjustments to align with the FM.</t>
  </si>
  <si>
    <t>FM Proportion Calc
Summary_Output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</si>
  <si>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</si>
  <si>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</si>
  <si>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</si>
  <si>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</si>
  <si>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</si>
  <si>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</si>
  <si>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</si>
  <si>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</si>
  <si>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</si>
  <si>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</si>
  <si>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</si>
  <si>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</si>
  <si>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</si>
  <si>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</si>
  <si>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</si>
  <si>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</si>
  <si>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</si>
  <si>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</si>
  <si>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</si>
  <si>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All the profiling of revenue inputs related calculations are done in this sheet.</t>
  </si>
  <si>
    <t>The profiled revenue adjustments are apportioned to align with the FM.</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</si>
  <si>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</si>
  <si>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</si>
  <si>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</si>
  <si>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</si>
  <si>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</si>
  <si>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</si>
  <si>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</si>
  <si>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</si>
  <si>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</si>
  <si>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</si>
  <si>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</si>
  <si>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</si>
  <si>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</si>
  <si>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</si>
  <si>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</si>
  <si>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</si>
  <si>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</si>
  <si>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</si>
  <si>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</si>
  <si>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</si>
  <si>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</si>
  <si>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</si>
  <si>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</si>
  <si>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</si>
  <si>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</si>
  <si>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</si>
  <si>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</si>
  <si>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</si>
  <si>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</si>
  <si>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</si>
  <si>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</si>
  <si>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</si>
  <si>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</si>
  <si>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</si>
  <si>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</si>
  <si>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</si>
  <si>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</si>
  <si>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</si>
  <si>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</si>
  <si>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</si>
  <si>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</si>
  <si>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</si>
  <si>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</si>
  <si>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</si>
  <si>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</si>
  <si>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</si>
  <si>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</si>
  <si>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</si>
  <si>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</si>
  <si>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</si>
  <si>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</si>
  <si>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</si>
  <si>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</si>
  <si>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</si>
  <si>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</si>
  <si>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</si>
  <si>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</si>
  <si>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</si>
  <si>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</si>
  <si>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</si>
  <si>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</si>
  <si>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</si>
  <si>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</si>
  <si>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</si>
  <si>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</si>
  <si>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</si>
  <si>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</si>
  <si>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</si>
  <si>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</si>
  <si>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</si>
  <si>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</si>
  <si>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Total</t>
  </si>
  <si>
    <t>[Used in formula range - Do not delete]</t>
  </si>
  <si>
    <t>A: TIME</t>
  </si>
  <si>
    <t>Timeline setup</t>
  </si>
  <si>
    <t>Timeline start dates</t>
  </si>
  <si>
    <t>C001</t>
  </si>
  <si>
    <t>date</t>
  </si>
  <si>
    <t>Date should be the first date of the financial year</t>
  </si>
  <si>
    <t>Financial year inputs</t>
  </si>
  <si>
    <t>C002</t>
  </si>
  <si>
    <t>year #</t>
  </si>
  <si>
    <t>Financial model start year</t>
  </si>
  <si>
    <t>C003</t>
  </si>
  <si>
    <t>month #</t>
  </si>
  <si>
    <t>Month of financial year end for financial model</t>
  </si>
  <si>
    <t>Timeline labels</t>
  </si>
  <si>
    <t>C004</t>
  </si>
  <si>
    <t>Pre-Fcst</t>
  </si>
  <si>
    <t>label</t>
  </si>
  <si>
    <t>C005</t>
  </si>
  <si>
    <t>Forecast</t>
  </si>
  <si>
    <t>C006</t>
  </si>
  <si>
    <t>Post-Fcst</t>
  </si>
  <si>
    <t>Project dates</t>
  </si>
  <si>
    <t>C007</t>
  </si>
  <si>
    <t>C008</t>
  </si>
  <si>
    <t>years</t>
  </si>
  <si>
    <t>C009</t>
  </si>
  <si>
    <t>years #</t>
  </si>
  <si>
    <t>For info. only</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</si>
  <si>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</si>
  <si>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</si>
  <si>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</si>
  <si>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</si>
  <si>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</si>
  <si>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</si>
  <si>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</si>
  <si>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</si>
  <si>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</si>
  <si>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</si>
  <si>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</si>
  <si>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</si>
  <si>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</si>
  <si>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</si>
  <si>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</si>
  <si>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</si>
  <si>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RPI INDEXATION</t>
  </si>
  <si>
    <t>RPI: Assumed percentage increase for unpopulated monthly values</t>
  </si>
  <si>
    <t>Inflation</t>
  </si>
  <si>
    <t>C010</t>
  </si>
  <si>
    <t>Year reference for FYA base price 1</t>
  </si>
  <si>
    <t>C011</t>
  </si>
  <si>
    <t>Year reference for FYA base price 2</t>
  </si>
  <si>
    <t>C012</t>
  </si>
  <si>
    <t>Year reference for FYE base price 1</t>
  </si>
  <si>
    <t>C013</t>
  </si>
  <si>
    <t>Year reference for FYE base price 2</t>
  </si>
  <si>
    <t>C014</t>
  </si>
  <si>
    <t>Year reference for FYE end price</t>
  </si>
  <si>
    <t>Deflation</t>
  </si>
  <si>
    <t>C015</t>
  </si>
  <si>
    <t>Year reference for FYE base price</t>
  </si>
  <si>
    <t>C016</t>
  </si>
  <si>
    <t>Year reference for FYA end price</t>
  </si>
  <si>
    <t>C: REVENUE INPUTS</t>
  </si>
  <si>
    <t>Water services</t>
  </si>
  <si>
    <t>2012/13 FYA</t>
  </si>
  <si>
    <t>Total value of export incentive to be paid to water resources at PR19</t>
  </si>
  <si>
    <t>2017/18 FYA</t>
  </si>
  <si>
    <t>Total value of import incentive - water resources</t>
  </si>
  <si>
    <t>Water network plus</t>
  </si>
  <si>
    <t>Further 2010-15 reconciliation total adjustment carry forward to PR19 ~ Water network plus</t>
  </si>
  <si>
    <t>Total value of export incentive to be paid to water network plus at PR19</t>
  </si>
  <si>
    <t>Total value of import incentive - water network plus</t>
  </si>
  <si>
    <t>WRFIM total reward / (penalty) at end of AMP6 ~ Water</t>
  </si>
  <si>
    <t>November 2018/2019</t>
  </si>
  <si>
    <t>Wastewater services</t>
  </si>
  <si>
    <t>Bioresources</t>
  </si>
  <si>
    <t>Wastewater network plus</t>
  </si>
  <si>
    <t>Further 2010-15 reconciliation total adjustment carry forward to PR19 ~ Wastewater network plus</t>
  </si>
  <si>
    <t>WRFIM total reward / (penalty) at the end of AMP6 ~ Wastewater</t>
  </si>
  <si>
    <t>Dummy control</t>
  </si>
  <si>
    <t>Dummy: revenue adjustment from totex menu model</t>
  </si>
  <si>
    <t>Dummy: WRFIM total reward / (penalty) at the end of AMP6</t>
  </si>
  <si>
    <t>Residential retail</t>
  </si>
  <si>
    <t>Residential retail revenue adjustment at end of AMP6</t>
  </si>
  <si>
    <t>2019/20 FYE</t>
  </si>
  <si>
    <t>SIM forecast revenue adjustment</t>
  </si>
  <si>
    <t>Business retail</t>
  </si>
  <si>
    <t>D: PROFILING INPUTS</t>
  </si>
  <si>
    <t>Discounting</t>
  </si>
  <si>
    <t>C020</t>
  </si>
  <si>
    <t>C040</t>
  </si>
  <si>
    <t>C050</t>
  </si>
  <si>
    <t>C060</t>
  </si>
  <si>
    <t>C070</t>
  </si>
  <si>
    <t>C080</t>
  </si>
  <si>
    <t>C090</t>
  </si>
  <si>
    <t>C100</t>
  </si>
  <si>
    <t>C030</t>
  </si>
  <si>
    <t>Profile selector</t>
  </si>
  <si>
    <t>C041</t>
  </si>
  <si>
    <t>0 = Apply in first year, 1 = Constant annuity 2020-25, 2 = Even allocation - NPV neutral</t>
  </si>
  <si>
    <t>C051</t>
  </si>
  <si>
    <t>C061</t>
  </si>
  <si>
    <t>C071</t>
  </si>
  <si>
    <t>C081</t>
  </si>
  <si>
    <t>C091</t>
  </si>
  <si>
    <t>C101</t>
  </si>
  <si>
    <t>E: NON CHANGEABLE MODEL TECHNICAL INPUTS</t>
  </si>
  <si>
    <t>C017</t>
  </si>
  <si>
    <t>months</t>
  </si>
  <si>
    <t>C018</t>
  </si>
  <si>
    <t>C019</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</si>
  <si>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</si>
  <si>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</si>
  <si>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</si>
  <si>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</si>
  <si>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</si>
  <si>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</si>
  <si>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</si>
  <si>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</si>
  <si>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</si>
  <si>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</si>
  <si>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</si>
  <si>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</si>
  <si>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</si>
  <si>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</si>
  <si>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</si>
  <si>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</si>
  <si>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</si>
  <si>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</si>
  <si>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</si>
  <si>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</si>
  <si>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</si>
  <si>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</si>
  <si>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</si>
  <si>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</si>
  <si>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</si>
  <si>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</si>
  <si>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</si>
  <si>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</si>
  <si>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</si>
  <si>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</si>
  <si>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</si>
  <si>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</si>
  <si>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</si>
  <si>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</si>
  <si>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</si>
  <si>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</si>
  <si>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</si>
  <si>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</si>
  <si>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</si>
  <si>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</si>
  <si>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</si>
  <si>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</si>
  <si>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</si>
  <si>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</si>
  <si>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</si>
  <si>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</si>
  <si>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</si>
  <si>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</si>
  <si>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</si>
  <si>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</si>
  <si>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</si>
  <si>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</si>
  <si>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</si>
  <si>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</si>
  <si>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</si>
  <si>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</si>
  <si>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</si>
  <si>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</si>
  <si>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</si>
  <si>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</si>
  <si>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</si>
  <si>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factor</t>
  </si>
  <si>
    <t>DEFLATION</t>
  </si>
  <si>
    <t>WATER SERVICES INPUTS INFLATION</t>
  </si>
  <si>
    <t>C_APP27015</t>
  </si>
  <si>
    <t>C_APP27022</t>
  </si>
  <si>
    <t>C_WS17013</t>
  </si>
  <si>
    <t>Water trading total value of export incentive ~ Water resources at 2020 FYE price base</t>
  </si>
  <si>
    <t>C_WS17025</t>
  </si>
  <si>
    <t>Water trading total value of import incentive ~ Water resources  at 2020 FYE price base</t>
  </si>
  <si>
    <t>C00578</t>
  </si>
  <si>
    <t>C_APP27016</t>
  </si>
  <si>
    <t>C_APP27023</t>
  </si>
  <si>
    <t>C_WS15024</t>
  </si>
  <si>
    <t>C_WS17014</t>
  </si>
  <si>
    <t>Water trading total value of export incentive - Water network plus at 2020 FYE price base</t>
  </si>
  <si>
    <t>C_WS17026</t>
  </si>
  <si>
    <t>Water trading total value of import incentive - Water network plus at 2020 FYE price base</t>
  </si>
  <si>
    <t>C_WS13026</t>
  </si>
  <si>
    <t>WRFIM total reward / (penalty) at the end of AMP6 ~ Water network plus at 2020 FYE price base</t>
  </si>
  <si>
    <t>WASTEWATER SERVICES INPUTS INFLATION</t>
  </si>
  <si>
    <t>C_APP27018</t>
  </si>
  <si>
    <t>C_APP27025</t>
  </si>
  <si>
    <t>C00585</t>
  </si>
  <si>
    <t>C_APP27017</t>
  </si>
  <si>
    <t>C_APP27024</t>
  </si>
  <si>
    <t>C_WWS15019</t>
  </si>
  <si>
    <t>C_WWS13026</t>
  </si>
  <si>
    <t>WRFIM total reward / (penalty) at the end of AMP6 ~ Wastewater network plus at 2020 FYE price base</t>
  </si>
  <si>
    <t>C_WWS15019_DMMY</t>
  </si>
  <si>
    <t>C_WWS13026_DMMY</t>
  </si>
  <si>
    <t>Dummy: WRFIM total reward / (penalty) at the end of AMP6 at 2020 FYE price base</t>
  </si>
  <si>
    <t>RESIDENTIAL RETAIL INPUTS INFLATION</t>
  </si>
  <si>
    <t>C_APP27019</t>
  </si>
  <si>
    <t>C_APP27026</t>
  </si>
  <si>
    <t>C_R9045</t>
  </si>
  <si>
    <t>C_R10009</t>
  </si>
  <si>
    <t>BUSINESS RETAIL INPUTS INFLATION</t>
  </si>
  <si>
    <t>C_APP27020</t>
  </si>
  <si>
    <t>C_APP27027</t>
  </si>
  <si>
    <t>PR14 REVENUE RECONCILIATION ADJUSTMENTS EXPRESSED IN 2017-18 FYA CPIH DEFLATED PRICE BASE</t>
  </si>
  <si>
    <t>C_APP27034</t>
  </si>
  <si>
    <t>C_APP27041</t>
  </si>
  <si>
    <t>C_WS17027</t>
  </si>
  <si>
    <t>C_WS17030</t>
  </si>
  <si>
    <t>C_APP25004</t>
  </si>
  <si>
    <t>C_APP27035</t>
  </si>
  <si>
    <t>C_APP27042</t>
  </si>
  <si>
    <t>C_WS15026</t>
  </si>
  <si>
    <t>C_WS17028</t>
  </si>
  <si>
    <t>C_WS17031</t>
  </si>
  <si>
    <t>C_WS13027</t>
  </si>
  <si>
    <t>C_APP27037</t>
  </si>
  <si>
    <t>C_APP27044</t>
  </si>
  <si>
    <t>C_APP25006</t>
  </si>
  <si>
    <t>C_APP27036</t>
  </si>
  <si>
    <t>C_APP27043</t>
  </si>
  <si>
    <t>C_WWS15021</t>
  </si>
  <si>
    <t>C_WWS13027</t>
  </si>
  <si>
    <t>C_WWS15021_DMMY</t>
  </si>
  <si>
    <t>C_WWS13027_DMMY</t>
  </si>
  <si>
    <t>C_APP27038</t>
  </si>
  <si>
    <t>C_APP27045</t>
  </si>
  <si>
    <t>C_R9046</t>
  </si>
  <si>
    <t>C_APP27039</t>
  </si>
  <si>
    <t>C_APP27046</t>
  </si>
  <si>
    <t>SUBTOTALS AS PER PRICE CONTROL FOR REVENUE ADJUSTMENTS 2017-18 FYA CPIH DEFLATED PRICE BASE</t>
  </si>
  <si>
    <t>C048</t>
  </si>
  <si>
    <t>C058</t>
  </si>
  <si>
    <t>C068</t>
  </si>
  <si>
    <t>C078</t>
  </si>
  <si>
    <t>Dummy revenue adjustment</t>
  </si>
  <si>
    <t>C088</t>
  </si>
  <si>
    <t>C098</t>
  </si>
  <si>
    <t>C108</t>
  </si>
  <si>
    <t>DISCOUNT RATE FOR 2021-25</t>
  </si>
  <si>
    <t>Years from valuation date</t>
  </si>
  <si>
    <t>PV discount factor - Water resources</t>
  </si>
  <si>
    <t>PV discount factor - Water network</t>
  </si>
  <si>
    <t>PV discount factor - Bioresources</t>
  </si>
  <si>
    <t>PV discount factor - Wastewater network</t>
  </si>
  <si>
    <t>PV discount factor - Dummy control</t>
  </si>
  <si>
    <t>PV discount factor - Residential retail</t>
  </si>
  <si>
    <t>PV discount factor - Business retail</t>
  </si>
  <si>
    <t>Equivalent Annual Cost (EAC) factor - Water resources</t>
  </si>
  <si>
    <t>Equivalent Annual Cost (EAC) factor - Water network</t>
  </si>
  <si>
    <t>Equivalent Annual Cost (EAC) factor - Bioresources</t>
  </si>
  <si>
    <t>Equivalent Annual Cost (EAC) factor - Wastewater network</t>
  </si>
  <si>
    <t>Equivalent Annual Cost (EAC) factor - Dummy control</t>
  </si>
  <si>
    <t>Equivalent Annual Cost (EAC) factor - Residential retail</t>
  </si>
  <si>
    <t>Equivalent Annual Cost (EAC) factor - Business retail</t>
  </si>
  <si>
    <t>PROFILES</t>
  </si>
  <si>
    <t>Profile 0 - Apply in first year</t>
  </si>
  <si>
    <t>PV discount factor at base date - Water resources</t>
  </si>
  <si>
    <t>PV discount factor at base date - Water network</t>
  </si>
  <si>
    <t>PV discount factor at base date - Bioresources</t>
  </si>
  <si>
    <t>PV discount factor at base date - Wastewater network</t>
  </si>
  <si>
    <t>PV discount factor at base date - Dummy control</t>
  </si>
  <si>
    <t>PV discount factor at base date - Residential retail</t>
  </si>
  <si>
    <t>PV discount factor at base date - Business retail</t>
  </si>
  <si>
    <t>Water resources revenue adjustment applied in first year</t>
  </si>
  <si>
    <t>Water network revenue adjustment applied in first year</t>
  </si>
  <si>
    <t>Bioresources revenue adjustment applied in first year</t>
  </si>
  <si>
    <t>Wastewater network revenue adjustment applied in first year</t>
  </si>
  <si>
    <t>Dummy control revenue adjustment applied in first year</t>
  </si>
  <si>
    <t>Residential retail revenue adjustment applied in first year</t>
  </si>
  <si>
    <t>Business retail revenue adjustment applied in first year</t>
  </si>
  <si>
    <t>Profile 1 - Constant annuity 2020-25</t>
  </si>
  <si>
    <t>Water resources revenue adjustment - EAC factor adjusted</t>
  </si>
  <si>
    <t>Water network revenue adjustment - EAC factor adjusted</t>
  </si>
  <si>
    <t>Bioresources revenue adjustment - EAC factor adjusted</t>
  </si>
  <si>
    <t>Wastewater network revenue adjustment - EAC factor adjusted</t>
  </si>
  <si>
    <t>Dummy control revenue adjustment - EAC factor adjusted</t>
  </si>
  <si>
    <t>Residential retail revenue adjustment - EAC factor adjusted</t>
  </si>
  <si>
    <t>Business retail revenue adjustment - EAC factor adjusted</t>
  </si>
  <si>
    <t>Water resources revenue adjustment - Constant annuity 2015-20</t>
  </si>
  <si>
    <t>Water network revenue adjustment - Constant annuity 2015-20</t>
  </si>
  <si>
    <t>Bioresources revenue adjustment - Constant annuity 2015-20</t>
  </si>
  <si>
    <t>Wastewater network revenue adjustment - Constant annuity 2015-20</t>
  </si>
  <si>
    <t>Dummy control revenue adjustment - Constant annuity 2015-20</t>
  </si>
  <si>
    <t>Residential retail revenue adjustment - Constant annuity 2015-20</t>
  </si>
  <si>
    <t>Business retail revenue adjustment - Constant annuity 2015-20</t>
  </si>
  <si>
    <t>Profile 2 - Even allocation - NPV neutral</t>
  </si>
  <si>
    <t>Water resources revenue adjustment - NPV adjusted</t>
  </si>
  <si>
    <t>Water network revenue adjustment - NPV adjusted</t>
  </si>
  <si>
    <t>Bioresources revenue adjustment - NPV adjusted</t>
  </si>
  <si>
    <t>Wastewater network revenue adjustment - NPV adjusted</t>
  </si>
  <si>
    <t>Dummy control revenue adjustment - NPV adjusted</t>
  </si>
  <si>
    <t>Residential retail revenue adjustment - NPV adjusted</t>
  </si>
  <si>
    <t>Business retail revenue adjustment - NPV adjusted</t>
  </si>
  <si>
    <t>Water resources revenue adjustment - Even allocation - NPV neutral</t>
  </si>
  <si>
    <t>Water network revenue adjustment - Even allocation - NPV neutral</t>
  </si>
  <si>
    <t>Bioresources revenue adjustment - Even allocation - NPV neutral</t>
  </si>
  <si>
    <t>Wastewater network revenue adjustment - Even allocation - NPV neutral</t>
  </si>
  <si>
    <t>Dummy control revenue adjustment - Even allocation - NPV neutral</t>
  </si>
  <si>
    <t>Residential retail revenue adjustment - Even allocation - NPV neutral</t>
  </si>
  <si>
    <t>Business retail revenue adjustment - Even allocation - NPV neutral</t>
  </si>
  <si>
    <t>PROFILES SELECTION</t>
  </si>
  <si>
    <t>C049</t>
  </si>
  <si>
    <t>C059</t>
  </si>
  <si>
    <t>C069</t>
  </si>
  <si>
    <t>C079</t>
  </si>
  <si>
    <t>C089</t>
  </si>
  <si>
    <t>C099</t>
  </si>
  <si>
    <t>C109</t>
  </si>
  <si>
    <t>Water Resources</t>
  </si>
  <si>
    <t>Water resources profiling proportions</t>
  </si>
  <si>
    <t>Water trading total value of incentive ~ Water resources  at 2017-18 FYA CPIH deflated price base</t>
  </si>
  <si>
    <t>Total water resources revenue adjustments</t>
  </si>
  <si>
    <t>Water resources total profiling adjustment check</t>
  </si>
  <si>
    <t>Check</t>
  </si>
  <si>
    <t>Water Network</t>
  </si>
  <si>
    <t>Water network profiling proportions</t>
  </si>
  <si>
    <t>Water trading total value of incentive ~ Water network at 2017-18 FYA CPIH deflated price base</t>
  </si>
  <si>
    <t>Total water network revenue adjustments</t>
  </si>
  <si>
    <t>Water network total profiling adjustment check</t>
  </si>
  <si>
    <t>Wastewater Network</t>
  </si>
  <si>
    <t>Wastewater network profiling proportions</t>
  </si>
  <si>
    <t>ODI in-period revenue adjustment ~ Wastewater network at 2017-18 FYA CPIH deflated price base</t>
  </si>
  <si>
    <t>ODI end of period revenue adjustment ~ Wastewater network at 2017-18 FYA CPIH deflated price base</t>
  </si>
  <si>
    <t>WRFIM total reward / (penalty) at the end of AMP6 ~ Wastewater network at 2017-18 FYA CPIH deflated price base</t>
  </si>
  <si>
    <t>Further 2010-15 reconciliation total adjustment revenue carry forward to PR19 ~ Wastewater network at 2017-18 FYA CPIH deflated price base</t>
  </si>
  <si>
    <t>Total wastewater network revenue adjustments</t>
  </si>
  <si>
    <t>Wastewater network total profiling adjustment check</t>
  </si>
  <si>
    <t>Bioresources profiling proportions</t>
  </si>
  <si>
    <t>Total bioresources revenue adjustments</t>
  </si>
  <si>
    <t>Bioresources total profiling adjustment check</t>
  </si>
  <si>
    <t>Dummy Control</t>
  </si>
  <si>
    <t>Dummy profiling proportions</t>
  </si>
  <si>
    <t>Total dummy revenue adjustments</t>
  </si>
  <si>
    <t>Dummy control total profiling adjustment check</t>
  </si>
  <si>
    <t>Retail</t>
  </si>
  <si>
    <t>END OF SHEET</t>
  </si>
  <si>
    <t>PR14 REVENUE RECONCILIATION ADJUSTMENTS EXPRESSED IN 2017/18 FYA CPIH DEFLATED PRICE BASE BY TABLE</t>
  </si>
  <si>
    <t>Table App25</t>
  </si>
  <si>
    <t>Table App27</t>
  </si>
  <si>
    <t>Table WS13</t>
  </si>
  <si>
    <t>Table WS15</t>
  </si>
  <si>
    <t>Table WS17</t>
  </si>
  <si>
    <t>Table WWS13</t>
  </si>
  <si>
    <t>Table WWS15</t>
  </si>
  <si>
    <t>Table Dmmy10</t>
  </si>
  <si>
    <t>Table Dmmy11</t>
  </si>
  <si>
    <t>Table R9</t>
  </si>
  <si>
    <t>Table R10</t>
  </si>
  <si>
    <t>SUBTOTALS AS PER PRICE CONTROL FOR REVENUE ADJUSTMENTS</t>
  </si>
  <si>
    <t>PROFILES SELECTED</t>
  </si>
  <si>
    <t>PROFILED WHOLESALE ADJUSTMENTS FOR FINANCIAL MODEL</t>
  </si>
  <si>
    <t>CHECK SUMMARY</t>
  </si>
  <si>
    <t>MODEL INTEGRITY CHECKS</t>
  </si>
  <si>
    <t>Total 5 year model integrity checks</t>
  </si>
  <si>
    <t>Checks</t>
  </si>
  <si>
    <t>[do not delete row]</t>
  </si>
  <si>
    <t>Input reference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</si>
</sst>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0_);_(* \(#,##0\);_(* &quot;-&quot;_);_(@_)"/>
    <numFmt numFmtId="164" formatCode="_(&quot;£&quot;* #,##0_);_(&quot;£&quot;* \(#,##0\);_(&quot;£&quot;* &quot;-&quot;_);_(@_)"/>
    <numFmt numFmtId="165" formatCode="_(&quot;£&quot;* #,##0.00_);_(&quot;£&quot;* \(#,##0.00\);_(&quot;£&quot;* &quot;-&quot;??_);_(@_)"/>
    <numFmt numFmtId="166" formatCode="#,##0_);\(#,##0\);&quot;-  &quot;;&quot; &quot;@&quot; &quot;"/>
    <numFmt numFmtId="167" formatCode="#,##0.0000_);\(#,##0.0000\);&quot;-  &quot;;&quot; &quot;@&quot; &quot;"/>
    <numFmt numFmtId="168" formatCode="0.00%_);\-0.00%_);&quot;-  &quot;;&quot; &quot;@&quot; &quot;"/>
    <numFmt numFmtId="169" formatCode="#,##0_);\(#,##0\);&quot;-  &quot;;&quot; &quot;@"/>
    <numFmt numFmtId="170" formatCode="#,##0.0_);\(#,##0.0\);&quot;-  &quot;;&quot; &quot;@&quot; &quot;"/>
    <numFmt numFmtId="171" formatCode="dd/mmm/yy_);;&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mm/yyyy;@"/>
    <numFmt numFmtId="179" formatCode="#,##0.000"/>
    <numFmt numFmtId="180" formatCode="#,##0.0"/>
    <numFmt numFmtId="181" formatCode="#,##0.00000000000000"/>
    <numFmt numFmtId="182" formatCode="#,##0.000000000000000000000"/>
    <numFmt numFmtId="183" formatCode="#,##0.000000000000000"/>
    <numFmt numFmtId="184" formatCode="#,##0.0000000000000000000000"/>
    <numFmt numFmtId="185" formatCode="#,##0.00000000000000000"/>
    <numFmt numFmtId="186" formatCode="#,##0.000000000000000000000000"/>
    <numFmt numFmtId="187" formatCode="#,##0.0000000000000000"/>
    <numFmt numFmtId="188" formatCode="#,##0.00000000000000000000000"/>
    <numFmt numFmtId="189" formatCode="#,##0.000000000000000000"/>
    <numFmt numFmtId="190" formatCode="#,##0.0000000000000000000000000"/>
    <numFmt numFmtId="191" formatCode="#,##0.0000000000000000000"/>
    <numFmt numFmtId="192" formatCode="#,##0.00000000000000000000000000"/>
    <numFmt numFmtId="193" formatCode="#,##0.000_);\(#,##0.000\);&quot;-  &quot;;&quot; &quot;@&quot; &quot;"/>
    <numFmt numFmtId="194" formatCode="#,##0.00000_);\(#,##0.00000\);&quot;-  &quot;;&quot; &quot;@&quot; &quot;"/>
    <numFmt numFmtId="195" formatCode="#,##0.000000_);\(#,##0.000000\);&quot;-  &quot;;&quot; &quot;@&quot; &quot;"/>
  </numFmts>
  <fonts count="86">
    <font>
      <sz val="10"/>
      <name val="Arial"/>
    </font>
    <font>
      <sz val="11"/>
      <color theme="1"/>
      <name val="Arial"/>
      <family val="2"/>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sz val="10"/>
      <color theme="1"/>
      <name val="Arial"/>
      <family val="2"/>
      <scheme val="minor"/>
    </font>
    <font>
      <b/>
      <sz val="12"/>
      <color theme="1"/>
      <name val="Arial"/>
      <family val="2"/>
    </font>
    <font>
      <b/>
      <sz val="26"/>
      <color indexed="9"/>
      <name val="Arial"/>
      <family val="2"/>
    </font>
    <font>
      <i/>
      <sz val="11"/>
      <color theme="1"/>
      <name val="Arial"/>
      <family val="2"/>
    </font>
    <font>
      <b/>
      <i/>
      <u/>
      <sz val="12"/>
      <color theme="1"/>
      <name val="Arial"/>
      <family val="2"/>
    </font>
    <font>
      <i/>
      <u/>
      <sz val="11"/>
      <color theme="1"/>
      <name val="Arial"/>
      <family val="2"/>
    </font>
    <font>
      <b/>
      <i/>
      <u/>
      <sz val="11"/>
      <color theme="1"/>
      <name val="Arial"/>
      <family val="2"/>
    </font>
    <font>
      <sz val="9"/>
      <color indexed="81"/>
      <name val="Arial"/>
      <family val="2"/>
    </font>
    <font>
      <sz val="9"/>
      <color indexed="81"/>
      <name val="Tahoma"/>
      <family val="2"/>
    </font>
    <font>
      <sz val="11"/>
      <color indexed="8"/>
      <name val="Arial"/>
      <family val="2"/>
      <scheme val="minor"/>
    </font>
  </fonts>
  <fills count="55">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8" tint="0.79998168889431442"/>
        <bgColor indexed="64"/>
      </patternFill>
    </fill>
    <fill>
      <patternFill patternType="solid">
        <fgColor rgb="FFFFC1EA"/>
        <bgColor indexed="64"/>
      </patternFill>
    </fill>
    <fill>
      <patternFill patternType="solid">
        <fgColor rgb="FF99FF9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style="medium">
        <color indexed="64"/>
      </left>
      <right style="dashDotDot">
        <color auto="1"/>
      </right>
      <top style="medium">
        <color indexed="64"/>
      </top>
      <bottom style="medium">
        <color indexed="64"/>
      </bottom>
      <diagonal/>
    </border>
    <border>
      <left/>
      <right/>
      <top style="thin">
        <color rgb="FF808080"/>
      </top>
      <bottom style="thin">
        <color rgb="FF808080"/>
      </bottom>
      <diagonal/>
    </border>
    <border>
      <left/>
      <right/>
      <top style="medium">
        <color theme="0"/>
      </top>
      <bottom/>
      <diagonal/>
    </border>
    <border>
      <left/>
      <right/>
      <top/>
      <bottom style="thin">
        <color theme="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60">
    <xf numFmtId="166" fontId="0" fillId="0" borderId="0" applyFont="0" applyFill="0" applyBorder="0" applyProtection="0">
      <alignment vertical="top"/>
    </xf>
    <xf numFmtId="169" fontId="5" fillId="0" borderId="0" applyFont="0" applyFill="0" applyBorder="0" applyProtection="0">
      <alignment vertical="top"/>
    </xf>
    <xf numFmtId="175" fontId="4" fillId="0" borderId="0" applyFont="0" applyFill="0" applyBorder="0" applyProtection="0">
      <alignment vertical="top"/>
    </xf>
    <xf numFmtId="176" fontId="4" fillId="0" borderId="0" applyFont="0" applyFill="0" applyBorder="0" applyProtection="0">
      <alignment vertical="top"/>
    </xf>
    <xf numFmtId="167" fontId="4" fillId="0" borderId="0" applyFont="0" applyFill="0" applyBorder="0" applyProtection="0">
      <alignment vertical="top"/>
    </xf>
    <xf numFmtId="168" fontId="4" fillId="0" borderId="0" applyFont="0" applyFill="0" applyBorder="0" applyProtection="0">
      <alignment vertical="top"/>
    </xf>
    <xf numFmtId="41"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23" applyNumberFormat="0" applyAlignment="0" applyProtection="0"/>
    <xf numFmtId="0" fontId="29" fillId="12" borderId="24" applyNumberFormat="0" applyAlignment="0" applyProtection="0"/>
    <xf numFmtId="0" fontId="30" fillId="12" borderId="23" applyNumberFormat="0" applyAlignment="0" applyProtection="0"/>
    <xf numFmtId="0" fontId="31" fillId="0" borderId="25" applyNumberFormat="0" applyFill="0" applyAlignment="0" applyProtection="0"/>
    <xf numFmtId="0" fontId="32" fillId="13" borderId="26" applyNumberFormat="0" applyAlignment="0" applyProtection="0"/>
    <xf numFmtId="0" fontId="33" fillId="0" borderId="0" applyNumberFormat="0" applyFill="0" applyBorder="0" applyAlignment="0" applyProtection="0"/>
    <xf numFmtId="0" fontId="20" fillId="14" borderId="27" applyNumberFormat="0" applyFont="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6" fillId="38" borderId="0" applyNumberFormat="0" applyBorder="0" applyAlignment="0" applyProtection="0"/>
    <xf numFmtId="169" fontId="37" fillId="0" borderId="0" applyNumberFormat="0" applyFill="0" applyBorder="0" applyAlignment="0" applyProtection="0">
      <alignment vertical="top"/>
    </xf>
    <xf numFmtId="174" fontId="38" fillId="0" borderId="0" applyFont="0" applyFill="0" applyBorder="0" applyProtection="0">
      <alignment vertical="top"/>
    </xf>
    <xf numFmtId="169" fontId="4" fillId="0" borderId="0" applyFont="0" applyFill="0" applyBorder="0" applyProtection="0">
      <alignment vertical="top"/>
    </xf>
    <xf numFmtId="0" fontId="76" fillId="0" borderId="0"/>
    <xf numFmtId="0" fontId="4" fillId="0" borderId="0"/>
    <xf numFmtId="0" fontId="2" fillId="0" borderId="0"/>
    <xf numFmtId="0" fontId="85" fillId="0" borderId="0"/>
    <xf numFmtId="0" fontId="1" fillId="0" borderId="0"/>
    <xf numFmtId="0" fontId="85" fillId="0" borderId="0"/>
    <xf numFmtId="166" fontId="4" fillId="0" borderId="0" applyFont="0" applyFill="0" applyBorder="0" applyProtection="0">
      <alignment vertical="top"/>
    </xf>
  </cellStyleXfs>
  <cellXfs count="418">
    <xf numFmtId="166" fontId="0" fillId="0" borderId="0" xfId="0">
      <alignment vertical="top"/>
    </xf>
    <xf numFmtId="166" fontId="8" fillId="0" borderId="0" xfId="0" applyFont="1">
      <alignment vertical="top"/>
    </xf>
    <xf numFmtId="166" fontId="10" fillId="0" borderId="0" xfId="0" applyFont="1">
      <alignment vertical="top"/>
    </xf>
    <xf numFmtId="166" fontId="4" fillId="0" borderId="0" xfId="0" applyFont="1">
      <alignment vertical="top"/>
    </xf>
    <xf numFmtId="166" fontId="0" fillId="0" borderId="0" xfId="0" applyAlignment="1">
      <alignment horizontal="right"/>
    </xf>
    <xf numFmtId="169" fontId="9" fillId="0" borderId="0" xfId="0" applyNumberFormat="1" applyFont="1">
      <alignment vertical="top"/>
    </xf>
    <xf numFmtId="176" fontId="9" fillId="0" borderId="0" xfId="3" applyFont="1">
      <alignment vertical="top"/>
    </xf>
    <xf numFmtId="169" fontId="0" fillId="0" borderId="0" xfId="0" applyNumberFormat="1">
      <alignment vertical="top"/>
    </xf>
    <xf numFmtId="169" fontId="0" fillId="0" borderId="0" xfId="0" applyNumberFormat="1" applyAlignment="1">
      <alignment horizontal="left" vertical="top"/>
    </xf>
    <xf numFmtId="172" fontId="11" fillId="0" borderId="0" xfId="0" applyNumberFormat="1" applyFont="1">
      <alignment vertical="top"/>
    </xf>
    <xf numFmtId="166" fontId="9" fillId="0" borderId="0" xfId="0" applyFont="1">
      <alignment vertical="top"/>
    </xf>
    <xf numFmtId="176" fontId="4" fillId="0" borderId="0" xfId="3" applyAlignment="1">
      <alignment horizontal="left" vertical="top"/>
    </xf>
    <xf numFmtId="166" fontId="19" fillId="0" borderId="0" xfId="0" applyFont="1">
      <alignment vertical="top"/>
    </xf>
    <xf numFmtId="169" fontId="4" fillId="0" borderId="0" xfId="0" applyNumberFormat="1" applyFont="1" applyAlignment="1">
      <alignment horizontal="right" vertical="top"/>
    </xf>
    <xf numFmtId="169" fontId="4" fillId="0" borderId="0" xfId="0" applyNumberFormat="1" applyFont="1">
      <alignment vertical="top"/>
    </xf>
    <xf numFmtId="176" fontId="4" fillId="0" borderId="0" xfId="3" applyAlignment="1">
      <alignment horizontal="right" vertical="top"/>
    </xf>
    <xf numFmtId="176" fontId="4" fillId="0" borderId="0" xfId="3">
      <alignment vertical="top"/>
    </xf>
    <xf numFmtId="166" fontId="4" fillId="0" borderId="0" xfId="0" applyFont="1" applyAlignment="1">
      <alignment horizontal="right" vertical="top"/>
    </xf>
    <xf numFmtId="173" fontId="4" fillId="0" borderId="0" xfId="0" applyNumberFormat="1" applyFont="1">
      <alignment vertical="top"/>
    </xf>
    <xf numFmtId="170" fontId="4" fillId="0" borderId="0" xfId="0" applyNumberFormat="1" applyFont="1">
      <alignment vertical="top"/>
    </xf>
    <xf numFmtId="175" fontId="4" fillId="0" borderId="0" xfId="2">
      <alignment vertical="top"/>
    </xf>
    <xf numFmtId="175" fontId="19" fillId="0" borderId="0" xfId="2" applyFont="1">
      <alignment vertical="top"/>
    </xf>
    <xf numFmtId="170" fontId="9" fillId="0" borderId="0" xfId="0" applyNumberFormat="1" applyFont="1">
      <alignment vertical="top"/>
    </xf>
    <xf numFmtId="170" fontId="10" fillId="0" borderId="0" xfId="0" applyNumberFormat="1" applyFont="1">
      <alignment vertical="top"/>
    </xf>
    <xf numFmtId="174" fontId="4" fillId="0" borderId="0" xfId="51" applyFont="1">
      <alignment vertical="top"/>
    </xf>
    <xf numFmtId="170" fontId="19" fillId="0" borderId="0" xfId="0" applyNumberFormat="1" applyFont="1">
      <alignment vertical="top"/>
    </xf>
    <xf numFmtId="166" fontId="6" fillId="0" borderId="0" xfId="0" applyFont="1">
      <alignment vertical="top"/>
    </xf>
    <xf numFmtId="166" fontId="7" fillId="0" borderId="0" xfId="0" applyFont="1">
      <alignment vertical="top"/>
    </xf>
    <xf numFmtId="172" fontId="4" fillId="0" borderId="0" xfId="0" applyNumberFormat="1" applyFont="1">
      <alignment vertical="top"/>
    </xf>
    <xf numFmtId="166" fontId="9" fillId="0" borderId="0" xfId="0" applyFont="1" applyAlignment="1">
      <alignment horizontal="right" vertical="top"/>
    </xf>
    <xf numFmtId="175" fontId="19" fillId="0" borderId="0" xfId="0" applyNumberFormat="1" applyFont="1">
      <alignment vertical="top"/>
    </xf>
    <xf numFmtId="166" fontId="12" fillId="0" borderId="0" xfId="0" applyFont="1" applyAlignment="1">
      <alignment horizontal="left" vertical="top"/>
    </xf>
    <xf numFmtId="166" fontId="4" fillId="0" borderId="0" xfId="0" applyFont="1" applyAlignment="1">
      <alignment horizontal="right"/>
    </xf>
    <xf numFmtId="175" fontId="4" fillId="0" borderId="0" xfId="2" applyAlignment="1">
      <alignment horizontal="left" vertical="top"/>
    </xf>
    <xf numFmtId="175" fontId="4" fillId="0" borderId="0" xfId="0" applyNumberFormat="1" applyFont="1">
      <alignment vertical="top"/>
    </xf>
    <xf numFmtId="166" fontId="4" fillId="39" borderId="37" xfId="0" applyFont="1" applyFill="1" applyBorder="1">
      <alignment vertical="top"/>
    </xf>
    <xf numFmtId="166" fontId="4" fillId="40" borderId="37" xfId="0" applyFont="1" applyFill="1" applyBorder="1">
      <alignment vertical="top"/>
    </xf>
    <xf numFmtId="166" fontId="9" fillId="0" borderId="38" xfId="0" applyFont="1" applyBorder="1">
      <alignment vertical="top"/>
    </xf>
    <xf numFmtId="166" fontId="4" fillId="0" borderId="38" xfId="0" applyFont="1" applyBorder="1">
      <alignment vertical="top"/>
    </xf>
    <xf numFmtId="166" fontId="9" fillId="39" borderId="0" xfId="0" applyFont="1" applyFill="1">
      <alignment vertical="top"/>
    </xf>
    <xf numFmtId="166" fontId="4" fillId="39" borderId="0" xfId="0" applyFont="1" applyFill="1">
      <alignment vertical="top"/>
    </xf>
    <xf numFmtId="177" fontId="4" fillId="0" borderId="0" xfId="0" applyNumberFormat="1" applyFont="1">
      <alignment vertical="top"/>
    </xf>
    <xf numFmtId="166" fontId="9" fillId="0" borderId="0" xfId="0" applyFont="1" applyAlignment="1">
      <alignment horizontal="center" vertical="top"/>
    </xf>
    <xf numFmtId="169" fontId="6" fillId="0" borderId="0" xfId="0" applyNumberFormat="1" applyFont="1">
      <alignment vertical="top"/>
    </xf>
    <xf numFmtId="169" fontId="43" fillId="0" borderId="0" xfId="0" applyNumberFormat="1" applyFont="1" applyAlignment="1">
      <alignment horizontal="center" vertical="top"/>
    </xf>
    <xf numFmtId="166" fontId="9" fillId="39" borderId="0" xfId="0" applyFont="1" applyFill="1" applyAlignment="1">
      <alignment horizontal="left" vertical="top"/>
    </xf>
    <xf numFmtId="166" fontId="14" fillId="0" borderId="0" xfId="0" applyFont="1">
      <alignment vertical="top"/>
    </xf>
    <xf numFmtId="166" fontId="17" fillId="0" borderId="0" xfId="0" applyFont="1">
      <alignment vertical="top"/>
    </xf>
    <xf numFmtId="166" fontId="4" fillId="0" borderId="4" xfId="0" applyFont="1" applyBorder="1">
      <alignment vertical="top"/>
    </xf>
    <xf numFmtId="166" fontId="4" fillId="0" borderId="0" xfId="0" applyFont="1" applyAlignment="1">
      <alignment horizontal="center" vertical="top"/>
    </xf>
    <xf numFmtId="166" fontId="4" fillId="0" borderId="8" xfId="0" applyFont="1" applyBorder="1">
      <alignment vertical="top"/>
    </xf>
    <xf numFmtId="166" fontId="4" fillId="2" borderId="17" xfId="0" applyFont="1" applyFill="1" applyBorder="1">
      <alignment vertical="top"/>
    </xf>
    <xf numFmtId="166" fontId="15" fillId="2" borderId="18" xfId="0" applyFont="1" applyFill="1" applyBorder="1" applyAlignment="1">
      <alignment horizontal="center" vertical="top"/>
    </xf>
    <xf numFmtId="166" fontId="4" fillId="2" borderId="19" xfId="0" applyFont="1" applyFill="1" applyBorder="1">
      <alignment vertical="top"/>
    </xf>
    <xf numFmtId="166" fontId="14" fillId="2" borderId="15" xfId="0" applyFont="1" applyFill="1" applyBorder="1" applyAlignment="1">
      <alignment horizontal="centerContinuous" vertical="top"/>
    </xf>
    <xf numFmtId="166" fontId="17" fillId="2" borderId="15" xfId="0" applyFont="1" applyFill="1" applyBorder="1" applyAlignment="1">
      <alignment horizontal="centerContinuous" vertical="top"/>
    </xf>
    <xf numFmtId="166" fontId="17" fillId="2" borderId="16" xfId="0" applyFont="1" applyFill="1" applyBorder="1" applyAlignment="1">
      <alignment horizontal="centerContinuous" vertical="top"/>
    </xf>
    <xf numFmtId="166" fontId="4" fillId="0" borderId="12" xfId="0" applyFont="1" applyBorder="1">
      <alignment vertical="top"/>
    </xf>
    <xf numFmtId="166" fontId="4" fillId="0" borderId="13" xfId="0" applyFont="1" applyBorder="1">
      <alignment vertical="top"/>
    </xf>
    <xf numFmtId="166" fontId="4" fillId="0" borderId="13" xfId="0" applyFont="1" applyBorder="1" applyAlignment="1">
      <alignment horizontal="center" vertical="top"/>
    </xf>
    <xf numFmtId="166" fontId="4" fillId="0" borderId="14" xfId="0" applyFont="1" applyBorder="1">
      <alignment vertical="top"/>
    </xf>
    <xf numFmtId="166" fontId="42" fillId="0" borderId="0" xfId="0" applyFont="1">
      <alignment vertical="top"/>
    </xf>
    <xf numFmtId="166" fontId="4" fillId="0" borderId="1" xfId="0" applyFont="1" applyBorder="1">
      <alignment vertical="top"/>
    </xf>
    <xf numFmtId="166" fontId="4" fillId="0" borderId="2" xfId="0" applyFont="1" applyBorder="1">
      <alignment vertical="top"/>
    </xf>
    <xf numFmtId="166" fontId="4" fillId="0" borderId="2" xfId="0" applyFont="1" applyBorder="1" applyAlignment="1">
      <alignment horizontal="center" vertical="top"/>
    </xf>
    <xf numFmtId="166" fontId="4" fillId="0" borderId="3" xfId="0" applyFont="1" applyBorder="1">
      <alignment vertical="top"/>
    </xf>
    <xf numFmtId="166" fontId="4" fillId="0" borderId="5" xfId="0" applyFont="1" applyBorder="1" applyAlignment="1">
      <alignment horizontal="right" vertical="top"/>
    </xf>
    <xf numFmtId="166" fontId="4" fillId="0" borderId="6" xfId="0" applyFont="1" applyBorder="1" applyAlignment="1">
      <alignment horizontal="center" vertical="top"/>
    </xf>
    <xf numFmtId="166" fontId="4" fillId="0" borderId="36" xfId="0" applyFont="1" applyBorder="1">
      <alignment vertical="top"/>
    </xf>
    <xf numFmtId="166" fontId="4" fillId="0" borderId="35" xfId="0" applyFont="1" applyBorder="1">
      <alignment vertical="top"/>
    </xf>
    <xf numFmtId="166" fontId="4" fillId="0" borderId="34" xfId="0" applyFont="1" applyBorder="1">
      <alignment vertical="top"/>
    </xf>
    <xf numFmtId="166" fontId="4" fillId="0" borderId="33" xfId="0" applyFont="1" applyBorder="1">
      <alignment vertical="top"/>
    </xf>
    <xf numFmtId="166" fontId="4" fillId="0" borderId="32" xfId="0" applyFont="1" applyBorder="1">
      <alignment vertical="top"/>
    </xf>
    <xf numFmtId="166" fontId="4" fillId="0" borderId="31" xfId="0" applyFont="1" applyBorder="1" applyAlignment="1">
      <alignment horizontal="right" vertical="top"/>
    </xf>
    <xf numFmtId="166" fontId="4" fillId="0" borderId="13" xfId="0" applyFont="1" applyBorder="1" applyAlignment="1">
      <alignment horizontal="right" vertical="top"/>
    </xf>
    <xf numFmtId="166" fontId="4" fillId="0" borderId="0" xfId="0" applyFont="1" applyAlignment="1">
      <alignment horizontal="center"/>
    </xf>
    <xf numFmtId="166" fontId="4" fillId="0" borderId="0" xfId="0" applyFont="1" applyAlignment="1">
      <alignment horizontal="left" vertical="top"/>
    </xf>
    <xf numFmtId="166" fontId="4" fillId="2" borderId="0" xfId="0" applyFont="1" applyFill="1" applyAlignment="1">
      <alignment horizontal="left" vertical="top"/>
    </xf>
    <xf numFmtId="166" fontId="4" fillId="5" borderId="0" xfId="0" applyFont="1" applyFill="1" applyAlignment="1">
      <alignment horizontal="left" vertical="top"/>
    </xf>
    <xf numFmtId="166" fontId="4" fillId="4" borderId="0" xfId="0" applyFont="1" applyFill="1" applyAlignment="1">
      <alignment horizontal="left" vertical="top"/>
    </xf>
    <xf numFmtId="166" fontId="11" fillId="0" borderId="0" xfId="0" applyFont="1">
      <alignment vertical="top"/>
    </xf>
    <xf numFmtId="166" fontId="18" fillId="0" borderId="0" xfId="0" applyFont="1">
      <alignment vertical="top"/>
    </xf>
    <xf numFmtId="166" fontId="4" fillId="2" borderId="0" xfId="0" applyFont="1" applyFill="1">
      <alignment vertical="top"/>
    </xf>
    <xf numFmtId="166" fontId="4" fillId="5" borderId="0" xfId="0" applyFont="1" applyFill="1">
      <alignment vertical="top"/>
    </xf>
    <xf numFmtId="166" fontId="4" fillId="6" borderId="0" xfId="0" applyFont="1" applyFill="1">
      <alignment vertical="top"/>
    </xf>
    <xf numFmtId="166" fontId="4" fillId="4" borderId="0" xfId="0" applyFont="1" applyFill="1">
      <alignment vertical="top"/>
    </xf>
    <xf numFmtId="166" fontId="4" fillId="7" borderId="0" xfId="0" applyFont="1" applyFill="1">
      <alignment vertical="top"/>
    </xf>
    <xf numFmtId="166" fontId="4" fillId="3" borderId="0" xfId="0" applyFont="1" applyFill="1">
      <alignment vertical="top"/>
    </xf>
    <xf numFmtId="166" fontId="47" fillId="0" borderId="0" xfId="0" applyFont="1">
      <alignment vertical="top"/>
    </xf>
    <xf numFmtId="166" fontId="44" fillId="0" borderId="0" xfId="0" applyFont="1" applyAlignment="1">
      <alignment vertical="center"/>
    </xf>
    <xf numFmtId="166" fontId="44" fillId="0" borderId="4" xfId="0" applyFont="1" applyBorder="1" applyAlignment="1">
      <alignment vertical="center"/>
    </xf>
    <xf numFmtId="166" fontId="44" fillId="0" borderId="9" xfId="0" applyFont="1" applyBorder="1" applyAlignment="1">
      <alignment horizontal="right" vertical="center"/>
    </xf>
    <xf numFmtId="166" fontId="44" fillId="0" borderId="11" xfId="0" applyFont="1" applyBorder="1" applyAlignment="1">
      <alignment vertical="center"/>
    </xf>
    <xf numFmtId="166" fontId="44" fillId="0" borderId="8" xfId="0" applyFont="1" applyBorder="1" applyAlignment="1">
      <alignment vertical="center"/>
    </xf>
    <xf numFmtId="166" fontId="44" fillId="0" borderId="33" xfId="0" applyFont="1" applyBorder="1" applyAlignment="1">
      <alignment vertical="center"/>
    </xf>
    <xf numFmtId="166" fontId="44" fillId="0" borderId="32" xfId="0" applyFont="1" applyBorder="1" applyAlignment="1">
      <alignment vertical="center"/>
    </xf>
    <xf numFmtId="166" fontId="4" fillId="0" borderId="0" xfId="0" applyFont="1" applyAlignment="1">
      <alignment vertical="center"/>
    </xf>
    <xf numFmtId="166" fontId="4" fillId="0" borderId="0" xfId="0" applyFont="1" applyAlignment="1">
      <alignment horizontal="center" vertical="center"/>
    </xf>
    <xf numFmtId="166" fontId="4" fillId="0" borderId="7" xfId="0" applyFont="1" applyBorder="1">
      <alignment vertical="top"/>
    </xf>
    <xf numFmtId="166" fontId="4" fillId="0" borderId="30" xfId="0" applyFont="1" applyBorder="1" applyAlignment="1">
      <alignment horizontal="center" vertical="top" wrapText="1"/>
    </xf>
    <xf numFmtId="166" fontId="4" fillId="0" borderId="29" xfId="0" applyFont="1" applyBorder="1">
      <alignment vertical="top"/>
    </xf>
    <xf numFmtId="166" fontId="4" fillId="0" borderId="9" xfId="0" applyFont="1" applyBorder="1" applyAlignment="1">
      <alignment horizontal="right" vertical="top"/>
    </xf>
    <xf numFmtId="166" fontId="4" fillId="0" borderId="11" xfId="0" applyFont="1" applyBorder="1">
      <alignment vertical="top"/>
    </xf>
    <xf numFmtId="166" fontId="4" fillId="0" borderId="0" xfId="0" applyFont="1" applyAlignment="1">
      <alignment horizontal="center" vertical="top" wrapText="1"/>
    </xf>
    <xf numFmtId="166" fontId="4" fillId="41" borderId="0" xfId="0" applyFont="1" applyFill="1">
      <alignment vertical="top"/>
    </xf>
    <xf numFmtId="166" fontId="15" fillId="41" borderId="15" xfId="0" applyFont="1" applyFill="1" applyBorder="1" applyAlignment="1">
      <alignment horizontal="centerContinuous" vertical="top"/>
    </xf>
    <xf numFmtId="166" fontId="16" fillId="41" borderId="15" xfId="0" applyFont="1" applyFill="1" applyBorder="1" applyAlignment="1">
      <alignment horizontal="centerContinuous" vertical="top"/>
    </xf>
    <xf numFmtId="166" fontId="13" fillId="41" borderId="15" xfId="0" applyFont="1" applyFill="1" applyBorder="1" applyAlignment="1">
      <alignment horizontal="centerContinuous" vertical="top"/>
    </xf>
    <xf numFmtId="166" fontId="16" fillId="41" borderId="16" xfId="0" applyFont="1" applyFill="1" applyBorder="1" applyAlignment="1">
      <alignment horizontal="centerContinuous" vertical="top"/>
    </xf>
    <xf numFmtId="166" fontId="4" fillId="42" borderId="17" xfId="0" applyFont="1" applyFill="1" applyBorder="1">
      <alignment vertical="top"/>
    </xf>
    <xf numFmtId="166" fontId="15" fillId="42" borderId="18" xfId="0" applyFont="1" applyFill="1" applyBorder="1" applyAlignment="1">
      <alignment horizontal="center" vertical="top"/>
    </xf>
    <xf numFmtId="166" fontId="4" fillId="42" borderId="19" xfId="0" applyFont="1" applyFill="1" applyBorder="1">
      <alignment vertical="top"/>
    </xf>
    <xf numFmtId="166" fontId="4" fillId="41" borderId="17" xfId="0" applyFont="1" applyFill="1" applyBorder="1">
      <alignment vertical="top"/>
    </xf>
    <xf numFmtId="166" fontId="15" fillId="41" borderId="18" xfId="0" applyFont="1" applyFill="1" applyBorder="1" applyAlignment="1">
      <alignment horizontal="center" vertical="top"/>
    </xf>
    <xf numFmtId="166" fontId="4" fillId="41" borderId="18" xfId="0" applyFont="1" applyFill="1" applyBorder="1">
      <alignment vertical="top"/>
    </xf>
    <xf numFmtId="166" fontId="45" fillId="41" borderId="15" xfId="0" applyFont="1" applyFill="1" applyBorder="1" applyAlignment="1">
      <alignment horizontal="centerContinuous" vertical="top"/>
    </xf>
    <xf numFmtId="166" fontId="46" fillId="41" borderId="15" xfId="0" applyFont="1" applyFill="1" applyBorder="1" applyAlignment="1">
      <alignment horizontal="centerContinuous" vertical="top"/>
    </xf>
    <xf numFmtId="166" fontId="46" fillId="41" borderId="16" xfId="0" applyFont="1" applyFill="1" applyBorder="1" applyAlignment="1">
      <alignment horizontal="centerContinuous" vertical="top"/>
    </xf>
    <xf numFmtId="166" fontId="48" fillId="42" borderId="10" xfId="0" applyFont="1" applyFill="1" applyBorder="1" applyAlignment="1">
      <alignment horizontal="center" vertical="center"/>
    </xf>
    <xf numFmtId="166" fontId="4" fillId="42" borderId="0" xfId="0" applyFont="1" applyFill="1" applyAlignment="1">
      <alignment horizontal="left" vertical="top"/>
    </xf>
    <xf numFmtId="166" fontId="4" fillId="41" borderId="0" xfId="0" applyFont="1" applyFill="1" applyAlignment="1">
      <alignment horizontal="left" vertical="top"/>
    </xf>
    <xf numFmtId="166" fontId="4" fillId="42" borderId="0" xfId="0" applyFont="1" applyFill="1">
      <alignment vertical="top"/>
    </xf>
    <xf numFmtId="166" fontId="11" fillId="41" borderId="0" xfId="0" applyFont="1" applyFill="1">
      <alignment vertical="top"/>
    </xf>
    <xf numFmtId="166" fontId="4" fillId="43" borderId="0" xfId="0" applyFont="1" applyFill="1">
      <alignment vertical="top"/>
    </xf>
    <xf numFmtId="166" fontId="4" fillId="41" borderId="0" xfId="0" applyFont="1" applyFill="1" applyAlignment="1">
      <alignment horizontal="right" vertical="top"/>
    </xf>
    <xf numFmtId="166" fontId="9" fillId="41" borderId="0" xfId="0" applyFont="1" applyFill="1">
      <alignment vertical="top"/>
    </xf>
    <xf numFmtId="175" fontId="4" fillId="42" borderId="37" xfId="2" applyFill="1" applyBorder="1">
      <alignment vertical="top"/>
    </xf>
    <xf numFmtId="166" fontId="4" fillId="41" borderId="37" xfId="0" applyFont="1" applyFill="1" applyBorder="1">
      <alignment vertical="top"/>
    </xf>
    <xf numFmtId="170" fontId="4" fillId="41" borderId="37" xfId="0" applyNumberFormat="1" applyFont="1" applyFill="1" applyBorder="1">
      <alignment vertical="top"/>
    </xf>
    <xf numFmtId="176" fontId="4" fillId="41" borderId="0" xfId="3" applyFill="1">
      <alignment vertical="top"/>
    </xf>
    <xf numFmtId="173" fontId="4" fillId="41" borderId="0" xfId="0" applyNumberFormat="1" applyFont="1" applyFill="1">
      <alignment vertical="top"/>
    </xf>
    <xf numFmtId="166" fontId="0" fillId="41" borderId="0" xfId="0" applyFill="1">
      <alignment vertical="top"/>
    </xf>
    <xf numFmtId="166" fontId="10" fillId="41" borderId="0" xfId="0" applyFont="1" applyFill="1">
      <alignment vertical="top"/>
    </xf>
    <xf numFmtId="171" fontId="12" fillId="0" borderId="0" xfId="0" applyNumberFormat="1" applyFont="1" applyAlignment="1">
      <alignment horizontal="left" vertical="top"/>
    </xf>
    <xf numFmtId="166" fontId="4" fillId="44" borderId="0" xfId="0" applyFont="1" applyFill="1">
      <alignment vertical="top"/>
    </xf>
    <xf numFmtId="166" fontId="48" fillId="41" borderId="10" xfId="0" applyFont="1" applyFill="1" applyBorder="1" applyAlignment="1">
      <alignment horizontal="center" vertical="center"/>
    </xf>
    <xf numFmtId="177" fontId="4" fillId="42" borderId="37" xfId="0" applyNumberFormat="1" applyFont="1" applyFill="1" applyBorder="1">
      <alignment vertical="top"/>
    </xf>
    <xf numFmtId="166" fontId="9" fillId="41" borderId="0" xfId="0" applyFont="1" applyFill="1" applyAlignment="1">
      <alignment horizontal="right" vertical="top"/>
    </xf>
    <xf numFmtId="166" fontId="4" fillId="0" borderId="31" xfId="0" applyFont="1" applyBorder="1">
      <alignment vertical="top"/>
    </xf>
    <xf numFmtId="166" fontId="50" fillId="0" borderId="0" xfId="0" applyFont="1" applyAlignment="1">
      <alignment horizontal="left" vertical="center"/>
    </xf>
    <xf numFmtId="174" fontId="0" fillId="0" borderId="0" xfId="51" applyFont="1">
      <alignment vertical="top"/>
    </xf>
    <xf numFmtId="166" fontId="48" fillId="0" borderId="0" xfId="0" applyFont="1" applyAlignment="1">
      <alignment horizontal="center" vertical="center"/>
    </xf>
    <xf numFmtId="166" fontId="49" fillId="0" borderId="0" xfId="0" applyFont="1" applyAlignment="1">
      <alignment horizontal="centerContinuous" vertical="center"/>
    </xf>
    <xf numFmtId="166" fontId="9" fillId="0" borderId="0" xfId="0" applyFont="1" applyAlignment="1">
      <alignment horizontal="centerContinuous" vertical="top"/>
    </xf>
    <xf numFmtId="166" fontId="45" fillId="0" borderId="0" xfId="0" applyFont="1" applyAlignment="1">
      <alignment horizontal="centerContinuous" vertical="top"/>
    </xf>
    <xf numFmtId="166" fontId="46" fillId="0" borderId="0" xfId="0" applyFont="1" applyAlignment="1">
      <alignment horizontal="centerContinuous" vertical="top"/>
    </xf>
    <xf numFmtId="177" fontId="0" fillId="0" borderId="0" xfId="4" applyNumberFormat="1" applyFont="1">
      <alignment vertical="top"/>
    </xf>
    <xf numFmtId="168" fontId="19" fillId="0" borderId="0" xfId="5" applyFont="1">
      <alignment vertical="top"/>
    </xf>
    <xf numFmtId="166" fontId="56" fillId="0" borderId="0" xfId="0" applyFont="1">
      <alignment vertical="top"/>
    </xf>
    <xf numFmtId="177" fontId="9" fillId="0" borderId="0" xfId="0" applyNumberFormat="1" applyFont="1">
      <alignment vertical="top"/>
    </xf>
    <xf numFmtId="177" fontId="10" fillId="0" borderId="0" xfId="0" applyNumberFormat="1" applyFont="1">
      <alignment vertical="top"/>
    </xf>
    <xf numFmtId="167" fontId="0" fillId="0" borderId="0" xfId="4" applyFont="1">
      <alignment vertical="top"/>
    </xf>
    <xf numFmtId="177" fontId="55" fillId="0" borderId="0" xfId="0" applyNumberFormat="1" applyFont="1">
      <alignment vertical="top"/>
    </xf>
    <xf numFmtId="168" fontId="55" fillId="0" borderId="0" xfId="5" applyFont="1">
      <alignment vertical="top"/>
    </xf>
    <xf numFmtId="177" fontId="53" fillId="0" borderId="0" xfId="0" applyNumberFormat="1" applyFont="1">
      <alignment vertical="top"/>
    </xf>
    <xf numFmtId="177" fontId="54" fillId="0" borderId="0" xfId="0" applyNumberFormat="1" applyFont="1">
      <alignment vertical="top"/>
    </xf>
    <xf numFmtId="177" fontId="56" fillId="0" borderId="0" xfId="0" applyNumberFormat="1" applyFont="1">
      <alignment vertical="top"/>
    </xf>
    <xf numFmtId="168" fontId="52" fillId="0" borderId="0" xfId="5" applyFont="1">
      <alignment vertical="top"/>
    </xf>
    <xf numFmtId="166" fontId="44" fillId="0" borderId="35" xfId="0" applyFont="1" applyBorder="1" applyAlignment="1">
      <alignment vertical="center"/>
    </xf>
    <xf numFmtId="166" fontId="48" fillId="0" borderId="35" xfId="0" applyFont="1" applyBorder="1" applyAlignment="1">
      <alignment horizontal="center" vertical="center"/>
    </xf>
    <xf numFmtId="166" fontId="53" fillId="0" borderId="0" xfId="0" applyFont="1">
      <alignment vertical="top"/>
    </xf>
    <xf numFmtId="166" fontId="54" fillId="0" borderId="0" xfId="0" applyFont="1">
      <alignment vertical="top"/>
    </xf>
    <xf numFmtId="166" fontId="55" fillId="0" borderId="0" xfId="0" applyFont="1">
      <alignment vertical="top"/>
    </xf>
    <xf numFmtId="177" fontId="0" fillId="0" borderId="0" xfId="0" applyNumberFormat="1">
      <alignment vertical="top"/>
    </xf>
    <xf numFmtId="177" fontId="4" fillId="0" borderId="0" xfId="4" applyNumberFormat="1">
      <alignment vertical="top"/>
    </xf>
    <xf numFmtId="177" fontId="19" fillId="0" borderId="0" xfId="4" applyNumberFormat="1" applyFont="1">
      <alignment vertical="top"/>
    </xf>
    <xf numFmtId="177" fontId="55" fillId="0" borderId="0" xfId="4" applyNumberFormat="1" applyFont="1">
      <alignment vertical="top"/>
    </xf>
    <xf numFmtId="174" fontId="19" fillId="0" borderId="0" xfId="4" applyNumberFormat="1" applyFont="1">
      <alignment vertical="top"/>
    </xf>
    <xf numFmtId="174" fontId="19" fillId="0" borderId="0" xfId="51" applyFont="1">
      <alignment vertical="top"/>
    </xf>
    <xf numFmtId="174" fontId="9" fillId="0" borderId="0" xfId="51" applyFont="1">
      <alignment vertical="top"/>
    </xf>
    <xf numFmtId="174" fontId="10" fillId="0" borderId="0" xfId="51" applyFont="1">
      <alignment vertical="top"/>
    </xf>
    <xf numFmtId="177" fontId="19" fillId="0" borderId="0" xfId="0" applyNumberFormat="1" applyFont="1">
      <alignment vertical="top"/>
    </xf>
    <xf numFmtId="168" fontId="57" fillId="0" borderId="0" xfId="5" applyFont="1">
      <alignment vertical="top"/>
    </xf>
    <xf numFmtId="168" fontId="58" fillId="0" borderId="0" xfId="5" applyFont="1">
      <alignment vertical="top"/>
    </xf>
    <xf numFmtId="166" fontId="4" fillId="0" borderId="32" xfId="0" applyFont="1" applyBorder="1" applyAlignment="1">
      <alignment horizontal="center" vertical="top" wrapText="1"/>
    </xf>
    <xf numFmtId="166" fontId="4" fillId="0" borderId="29" xfId="0" applyFont="1" applyBorder="1" applyAlignment="1">
      <alignment horizontal="center" vertical="top" wrapText="1"/>
    </xf>
    <xf numFmtId="166" fontId="48" fillId="39" borderId="39" xfId="0" applyFont="1" applyFill="1" applyBorder="1" applyAlignment="1">
      <alignment horizontal="center" vertical="center"/>
    </xf>
    <xf numFmtId="166" fontId="55" fillId="45" borderId="0" xfId="0" applyFont="1" applyFill="1">
      <alignment vertical="top"/>
    </xf>
    <xf numFmtId="177" fontId="55" fillId="45" borderId="0" xfId="4" applyNumberFormat="1" applyFont="1" applyFill="1">
      <alignment vertical="top"/>
    </xf>
    <xf numFmtId="167" fontId="40" fillId="0" borderId="0" xfId="4" applyFont="1">
      <alignment vertical="top"/>
    </xf>
    <xf numFmtId="167" fontId="41" fillId="0" borderId="0" xfId="4" applyFont="1">
      <alignment vertical="top"/>
    </xf>
    <xf numFmtId="167" fontId="39" fillId="0" borderId="0" xfId="4" applyFont="1">
      <alignment vertical="top"/>
    </xf>
    <xf numFmtId="167" fontId="51" fillId="0" borderId="0" xfId="4" applyFont="1">
      <alignment vertical="top"/>
    </xf>
    <xf numFmtId="167" fontId="9" fillId="0" borderId="0" xfId="4" applyFont="1">
      <alignment vertical="top"/>
    </xf>
    <xf numFmtId="167" fontId="10" fillId="0" borderId="0" xfId="4" applyFont="1">
      <alignment vertical="top"/>
    </xf>
    <xf numFmtId="167" fontId="4" fillId="0" borderId="0" xfId="4">
      <alignment vertical="top"/>
    </xf>
    <xf numFmtId="167" fontId="19" fillId="0" borderId="0" xfId="4" applyFont="1">
      <alignment vertical="top"/>
    </xf>
    <xf numFmtId="166" fontId="55" fillId="41" borderId="0" xfId="0" applyFont="1" applyFill="1">
      <alignment vertical="top"/>
    </xf>
    <xf numFmtId="173" fontId="55" fillId="0" borderId="0" xfId="4" applyNumberFormat="1" applyFont="1">
      <alignment vertical="top"/>
    </xf>
    <xf numFmtId="173" fontId="55" fillId="41" borderId="0" xfId="4" applyNumberFormat="1" applyFont="1" applyFill="1">
      <alignment vertical="top"/>
    </xf>
    <xf numFmtId="172" fontId="55" fillId="0" borderId="0" xfId="0" applyNumberFormat="1" applyFont="1">
      <alignment vertical="top"/>
    </xf>
    <xf numFmtId="177" fontId="39" fillId="0" borderId="0" xfId="0" applyNumberFormat="1" applyFont="1">
      <alignment vertical="top"/>
    </xf>
    <xf numFmtId="177" fontId="55" fillId="45" borderId="0" xfId="0" applyNumberFormat="1" applyFont="1" applyFill="1">
      <alignment vertical="top"/>
    </xf>
    <xf numFmtId="176" fontId="19" fillId="0" borderId="0" xfId="3" applyFont="1">
      <alignment vertical="top"/>
    </xf>
    <xf numFmtId="166" fontId="40" fillId="0" borderId="0" xfId="0" applyFont="1">
      <alignment vertical="top"/>
    </xf>
    <xf numFmtId="166" fontId="41" fillId="0" borderId="0" xfId="0" applyFont="1">
      <alignment vertical="top"/>
    </xf>
    <xf numFmtId="166" fontId="39" fillId="0" borderId="0" xfId="0" applyFont="1">
      <alignment vertical="top"/>
    </xf>
    <xf numFmtId="167" fontId="0" fillId="0" borderId="0" xfId="0" applyNumberFormat="1">
      <alignment vertical="top"/>
    </xf>
    <xf numFmtId="167" fontId="19" fillId="0" borderId="0" xfId="0" applyNumberFormat="1" applyFont="1">
      <alignment vertical="top"/>
    </xf>
    <xf numFmtId="168" fontId="9" fillId="0" borderId="0" xfId="5" applyFont="1">
      <alignment vertical="top"/>
    </xf>
    <xf numFmtId="168" fontId="10" fillId="0" borderId="0" xfId="5" applyFont="1">
      <alignment vertical="top"/>
    </xf>
    <xf numFmtId="168" fontId="4" fillId="0" borderId="0" xfId="5">
      <alignment vertical="top"/>
    </xf>
    <xf numFmtId="168" fontId="0" fillId="0" borderId="0" xfId="5" applyFont="1">
      <alignment vertical="top"/>
    </xf>
    <xf numFmtId="167" fontId="53" fillId="0" borderId="0" xfId="4" applyFont="1">
      <alignment vertical="top"/>
    </xf>
    <xf numFmtId="167" fontId="54" fillId="0" borderId="0" xfId="4" applyFont="1">
      <alignment vertical="top"/>
    </xf>
    <xf numFmtId="167" fontId="55" fillId="0" borderId="0" xfId="4" applyFont="1">
      <alignment vertical="top"/>
    </xf>
    <xf numFmtId="167" fontId="4" fillId="0" borderId="0" xfId="0" applyNumberFormat="1" applyFont="1">
      <alignment vertical="top"/>
    </xf>
    <xf numFmtId="176" fontId="39" fillId="0" borderId="0" xfId="3" applyFont="1">
      <alignment vertical="top"/>
    </xf>
    <xf numFmtId="176" fontId="40" fillId="0" borderId="0" xfId="3" applyFont="1">
      <alignment vertical="top"/>
    </xf>
    <xf numFmtId="166" fontId="39" fillId="41" borderId="0" xfId="0" applyFont="1" applyFill="1">
      <alignment vertical="top"/>
    </xf>
    <xf numFmtId="176" fontId="57" fillId="0" borderId="0" xfId="3" applyFont="1">
      <alignment vertical="top"/>
    </xf>
    <xf numFmtId="176" fontId="58" fillId="0" borderId="0" xfId="3" applyFont="1">
      <alignment vertical="top"/>
    </xf>
    <xf numFmtId="166" fontId="55" fillId="0" borderId="0" xfId="0" applyFont="1" applyAlignment="1">
      <alignment horizontal="right" vertical="top"/>
    </xf>
    <xf numFmtId="167" fontId="4" fillId="0" borderId="0" xfId="3" applyNumberFormat="1">
      <alignment vertical="top"/>
    </xf>
    <xf numFmtId="177" fontId="51" fillId="0" borderId="0" xfId="0" applyNumberFormat="1" applyFont="1">
      <alignment vertical="top"/>
    </xf>
    <xf numFmtId="169" fontId="53" fillId="0" borderId="0" xfId="0" applyNumberFormat="1" applyFont="1">
      <alignment vertical="top"/>
    </xf>
    <xf numFmtId="166" fontId="55" fillId="0" borderId="0" xfId="2" applyNumberFormat="1" applyFont="1">
      <alignment vertical="top"/>
    </xf>
    <xf numFmtId="175" fontId="55" fillId="42" borderId="37" xfId="2" applyFont="1" applyFill="1" applyBorder="1">
      <alignment vertical="top"/>
    </xf>
    <xf numFmtId="175" fontId="55" fillId="0" borderId="0" xfId="2" applyFont="1">
      <alignment vertical="top"/>
    </xf>
    <xf numFmtId="169" fontId="55" fillId="0" borderId="0" xfId="0" applyNumberFormat="1" applyFont="1">
      <alignment vertical="top"/>
    </xf>
    <xf numFmtId="175" fontId="9" fillId="0" borderId="0" xfId="2" applyFont="1">
      <alignment vertical="top"/>
    </xf>
    <xf numFmtId="175" fontId="10" fillId="0" borderId="0" xfId="2" applyFont="1">
      <alignment vertical="top"/>
    </xf>
    <xf numFmtId="175" fontId="0" fillId="0" borderId="0" xfId="2" applyFont="1">
      <alignment vertical="top"/>
    </xf>
    <xf numFmtId="168" fontId="4" fillId="42" borderId="37" xfId="5" applyFill="1" applyBorder="1">
      <alignment vertical="top"/>
    </xf>
    <xf numFmtId="166" fontId="4" fillId="42" borderId="37" xfId="0" applyFont="1" applyFill="1" applyBorder="1">
      <alignment vertical="top"/>
    </xf>
    <xf numFmtId="174" fontId="4" fillId="42" borderId="37" xfId="51" applyFont="1" applyFill="1" applyBorder="1">
      <alignment vertical="top"/>
    </xf>
    <xf numFmtId="177" fontId="39" fillId="0" borderId="40" xfId="0" applyNumberFormat="1" applyFont="1" applyBorder="1">
      <alignment vertical="top"/>
    </xf>
    <xf numFmtId="168" fontId="53" fillId="0" borderId="0" xfId="5" applyFont="1">
      <alignment vertical="top"/>
    </xf>
    <xf numFmtId="168" fontId="54" fillId="0" borderId="0" xfId="5" applyFont="1">
      <alignment vertical="top"/>
    </xf>
    <xf numFmtId="168" fontId="56" fillId="0" borderId="0" xfId="5" applyFont="1">
      <alignment vertical="top"/>
    </xf>
    <xf numFmtId="166" fontId="61" fillId="46" borderId="0" xfId="0" applyFont="1" applyFill="1">
      <alignment vertical="top"/>
    </xf>
    <xf numFmtId="166" fontId="62" fillId="46" borderId="0" xfId="0" applyFont="1" applyFill="1">
      <alignment vertical="top"/>
    </xf>
    <xf numFmtId="166" fontId="63" fillId="0" borderId="0" xfId="0" applyFont="1">
      <alignment vertical="top"/>
    </xf>
    <xf numFmtId="166" fontId="64" fillId="46" borderId="41" xfId="0" applyFont="1" applyFill="1" applyBorder="1">
      <alignment vertical="top"/>
    </xf>
    <xf numFmtId="166" fontId="62" fillId="46" borderId="41" xfId="0" applyFont="1" applyFill="1" applyBorder="1">
      <alignment vertical="top"/>
    </xf>
    <xf numFmtId="166" fontId="64" fillId="0" borderId="41" xfId="0" applyFont="1" applyBorder="1">
      <alignment vertical="top"/>
    </xf>
    <xf numFmtId="166" fontId="64" fillId="0" borderId="0" xfId="0" applyFont="1">
      <alignment vertical="top"/>
    </xf>
    <xf numFmtId="166" fontId="65" fillId="46" borderId="0" xfId="0" applyFont="1" applyFill="1">
      <alignment vertical="top"/>
    </xf>
    <xf numFmtId="166" fontId="64" fillId="46" borderId="0" xfId="0" applyFont="1" applyFill="1">
      <alignment vertical="top"/>
    </xf>
    <xf numFmtId="166" fontId="65" fillId="0" borderId="0" xfId="0" applyFont="1">
      <alignment vertical="top"/>
    </xf>
    <xf numFmtId="166" fontId="64" fillId="46" borderId="42" xfId="0" applyFont="1" applyFill="1" applyBorder="1">
      <alignment vertical="top"/>
    </xf>
    <xf numFmtId="166" fontId="62" fillId="46" borderId="42" xfId="0" applyFont="1" applyFill="1" applyBorder="1">
      <alignment vertical="top"/>
    </xf>
    <xf numFmtId="166" fontId="67" fillId="0" borderId="0" xfId="0" applyFont="1">
      <alignment vertical="top"/>
    </xf>
    <xf numFmtId="166" fontId="68" fillId="0" borderId="0" xfId="0" applyFont="1">
      <alignment vertical="top"/>
    </xf>
    <xf numFmtId="166" fontId="69" fillId="0" borderId="0" xfId="0" applyFont="1">
      <alignment vertical="top"/>
    </xf>
    <xf numFmtId="166" fontId="70" fillId="0" borderId="0" xfId="0" applyFont="1">
      <alignment vertical="top"/>
    </xf>
    <xf numFmtId="166" fontId="72" fillId="0" borderId="0" xfId="50" applyNumberFormat="1" applyFont="1">
      <alignment vertical="top"/>
    </xf>
    <xf numFmtId="166" fontId="60" fillId="47" borderId="0" xfId="0" applyFont="1" applyFill="1">
      <alignment vertical="top"/>
    </xf>
    <xf numFmtId="166" fontId="59" fillId="47" borderId="0" xfId="0" applyFont="1" applyFill="1">
      <alignment vertical="top"/>
    </xf>
    <xf numFmtId="166" fontId="73" fillId="47" borderId="0" xfId="0" applyFont="1" applyFill="1">
      <alignment vertical="top"/>
    </xf>
    <xf numFmtId="166" fontId="59" fillId="0" borderId="0" xfId="0" applyFont="1">
      <alignment vertical="top"/>
    </xf>
    <xf numFmtId="166" fontId="74" fillId="0" borderId="0" xfId="0" applyFont="1">
      <alignment vertical="top"/>
    </xf>
    <xf numFmtId="166" fontId="75" fillId="0" borderId="0" xfId="0" applyFont="1">
      <alignment vertical="top"/>
    </xf>
    <xf numFmtId="0" fontId="76" fillId="0" borderId="0" xfId="53"/>
    <xf numFmtId="0" fontId="76" fillId="0" borderId="0" xfId="53" applyAlignment="1">
      <alignment horizontal="left" vertical="top"/>
    </xf>
    <xf numFmtId="0" fontId="59" fillId="0" borderId="0" xfId="53" applyFont="1" applyAlignment="1">
      <alignment horizontal="left" vertical="top"/>
    </xf>
    <xf numFmtId="0" fontId="59" fillId="0" borderId="0" xfId="53" applyFont="1"/>
    <xf numFmtId="0" fontId="59" fillId="0" borderId="44" xfId="53" applyFont="1" applyBorder="1" applyAlignment="1">
      <alignment horizontal="left" vertical="top" wrapText="1"/>
    </xf>
    <xf numFmtId="0" fontId="59" fillId="0" borderId="45" xfId="53" applyFont="1" applyBorder="1" applyAlignment="1">
      <alignment horizontal="left" vertical="top"/>
    </xf>
    <xf numFmtId="0" fontId="59" fillId="0" borderId="43" xfId="53" applyFont="1" applyBorder="1" applyAlignment="1">
      <alignment horizontal="left" vertical="top"/>
    </xf>
    <xf numFmtId="0" fontId="59" fillId="0" borderId="46" xfId="53" applyFont="1" applyBorder="1" applyAlignment="1">
      <alignment horizontal="left" vertical="top"/>
    </xf>
    <xf numFmtId="0" fontId="59" fillId="0" borderId="47" xfId="53" applyFont="1" applyBorder="1" applyAlignment="1">
      <alignment horizontal="left" vertical="top" wrapText="1"/>
    </xf>
    <xf numFmtId="0" fontId="59" fillId="0" borderId="48" xfId="53" applyFont="1" applyBorder="1" applyAlignment="1">
      <alignment horizontal="left" vertical="top"/>
    </xf>
    <xf numFmtId="0" fontId="77" fillId="0" borderId="44" xfId="53" applyFont="1" applyBorder="1" applyAlignment="1">
      <alignment horizontal="left" vertical="top"/>
    </xf>
    <xf numFmtId="0" fontId="78" fillId="48" borderId="47" xfId="54" applyFont="1" applyFill="1" applyBorder="1" applyAlignment="1">
      <alignment horizontal="left" vertical="center"/>
    </xf>
    <xf numFmtId="166" fontId="0" fillId="45" borderId="0" xfId="0" applyFill="1">
      <alignment vertical="top"/>
    </xf>
    <xf numFmtId="177" fontId="40" fillId="0" borderId="0" xfId="0" applyNumberFormat="1" applyFont="1">
      <alignment vertical="top"/>
    </xf>
    <xf numFmtId="177" fontId="41" fillId="0" borderId="0" xfId="0" applyNumberFormat="1" applyFont="1">
      <alignment vertical="top"/>
    </xf>
    <xf numFmtId="168" fontId="0" fillId="45" borderId="0" xfId="5" applyFont="1" applyFill="1">
      <alignment vertical="top"/>
    </xf>
    <xf numFmtId="177" fontId="0" fillId="45" borderId="0" xfId="0" applyNumberFormat="1" applyFill="1">
      <alignment vertical="top"/>
    </xf>
    <xf numFmtId="176" fontId="19" fillId="45" borderId="0" xfId="3" applyFont="1" applyFill="1">
      <alignment vertical="top"/>
    </xf>
    <xf numFmtId="167" fontId="9" fillId="0" borderId="0" xfId="0" applyNumberFormat="1" applyFont="1">
      <alignment vertical="top"/>
    </xf>
    <xf numFmtId="167" fontId="10" fillId="0" borderId="0" xfId="0" applyNumberFormat="1" applyFont="1">
      <alignment vertical="top"/>
    </xf>
    <xf numFmtId="166" fontId="0" fillId="0" borderId="0" xfId="0" applyAlignment="1">
      <alignment horizontal="right" vertical="top"/>
    </xf>
    <xf numFmtId="177" fontId="55" fillId="42" borderId="0" xfId="0" applyNumberFormat="1" applyFont="1" applyFill="1">
      <alignment vertical="top"/>
    </xf>
    <xf numFmtId="168" fontId="55" fillId="42" borderId="0" xfId="5" applyFont="1" applyFill="1">
      <alignment vertical="top"/>
    </xf>
    <xf numFmtId="168" fontId="55" fillId="0" borderId="0" xfId="0" applyNumberFormat="1" applyFont="1">
      <alignment vertical="top"/>
    </xf>
    <xf numFmtId="17" fontId="59" fillId="0" borderId="0" xfId="53" applyNumberFormat="1" applyFont="1" applyAlignment="1">
      <alignment vertical="top"/>
    </xf>
    <xf numFmtId="178" fontId="64" fillId="46" borderId="0" xfId="0" applyNumberFormat="1" applyFont="1" applyFill="1" applyAlignment="1">
      <alignment horizontal="left" vertical="top"/>
    </xf>
    <xf numFmtId="0" fontId="59" fillId="49" borderId="45" xfId="53" applyFont="1" applyFill="1" applyBorder="1" applyAlignment="1">
      <alignment horizontal="left" vertical="top"/>
    </xf>
    <xf numFmtId="0" fontId="59" fillId="49" borderId="44" xfId="53" applyFont="1" applyFill="1" applyBorder="1" applyAlignment="1">
      <alignment horizontal="left" vertical="top" wrapText="1"/>
    </xf>
    <xf numFmtId="0" fontId="59" fillId="49" borderId="43" xfId="53" applyFont="1" applyFill="1" applyBorder="1" applyAlignment="1">
      <alignment horizontal="left" vertical="top"/>
    </xf>
    <xf numFmtId="168" fontId="55" fillId="49" borderId="0" xfId="0" applyNumberFormat="1" applyFont="1" applyFill="1">
      <alignment vertical="top"/>
    </xf>
    <xf numFmtId="177" fontId="55" fillId="49" borderId="0" xfId="4" applyNumberFormat="1" applyFont="1" applyFill="1">
      <alignment vertical="top"/>
    </xf>
    <xf numFmtId="166" fontId="0" fillId="49" borderId="0" xfId="0" applyFill="1">
      <alignment vertical="top"/>
    </xf>
    <xf numFmtId="177" fontId="19" fillId="49" borderId="0" xfId="0" applyNumberFormat="1" applyFont="1" applyFill="1">
      <alignment vertical="top"/>
    </xf>
    <xf numFmtId="177" fontId="4" fillId="49" borderId="0" xfId="0" applyNumberFormat="1" applyFont="1" applyFill="1">
      <alignment vertical="top"/>
    </xf>
    <xf numFmtId="177" fontId="4" fillId="49" borderId="0" xfId="4" applyNumberFormat="1" applyFill="1">
      <alignment vertical="top"/>
    </xf>
    <xf numFmtId="177" fontId="39" fillId="49" borderId="0" xfId="0" applyNumberFormat="1" applyFont="1" applyFill="1">
      <alignment vertical="top"/>
    </xf>
    <xf numFmtId="177" fontId="39" fillId="49" borderId="40" xfId="0" applyNumberFormat="1" applyFont="1" applyFill="1" applyBorder="1">
      <alignment vertical="top"/>
    </xf>
    <xf numFmtId="177" fontId="0" fillId="49" borderId="0" xfId="0" applyNumberFormat="1" applyFill="1">
      <alignment vertical="top"/>
    </xf>
    <xf numFmtId="167" fontId="4" fillId="49" borderId="0" xfId="4" applyFill="1">
      <alignment vertical="top"/>
    </xf>
    <xf numFmtId="167" fontId="0" fillId="49" borderId="0" xfId="0" applyNumberFormat="1" applyFill="1">
      <alignment vertical="top"/>
    </xf>
    <xf numFmtId="167" fontId="4" fillId="49" borderId="0" xfId="3" applyNumberFormat="1" applyFill="1">
      <alignment vertical="top"/>
    </xf>
    <xf numFmtId="168" fontId="19" fillId="49" borderId="0" xfId="5" applyFont="1" applyFill="1">
      <alignment vertical="top"/>
    </xf>
    <xf numFmtId="167" fontId="55" fillId="49" borderId="0" xfId="4" applyFont="1" applyFill="1">
      <alignment vertical="top"/>
    </xf>
    <xf numFmtId="168" fontId="0" fillId="49" borderId="0" xfId="5" applyFont="1" applyFill="1">
      <alignment vertical="top"/>
    </xf>
    <xf numFmtId="170" fontId="4" fillId="49" borderId="0" xfId="0" applyNumberFormat="1" applyFont="1" applyFill="1">
      <alignment vertical="top"/>
    </xf>
    <xf numFmtId="177" fontId="39" fillId="50" borderId="0" xfId="0" applyNumberFormat="1" applyFont="1" applyFill="1">
      <alignment vertical="top"/>
    </xf>
    <xf numFmtId="177" fontId="4" fillId="50" borderId="0" xfId="0" applyNumberFormat="1" applyFont="1" applyFill="1">
      <alignment vertical="top"/>
    </xf>
    <xf numFmtId="177" fontId="4" fillId="50" borderId="0" xfId="4" applyNumberFormat="1" applyFill="1">
      <alignment vertical="top"/>
    </xf>
    <xf numFmtId="177" fontId="19" fillId="50" borderId="0" xfId="0" applyNumberFormat="1" applyFont="1" applyFill="1">
      <alignment vertical="top"/>
    </xf>
    <xf numFmtId="167" fontId="0" fillId="49" borderId="0" xfId="4" applyFont="1" applyFill="1">
      <alignment vertical="top"/>
    </xf>
    <xf numFmtId="177" fontId="0" fillId="50" borderId="0" xfId="0" applyNumberFormat="1" applyFill="1">
      <alignment vertical="top"/>
    </xf>
    <xf numFmtId="167" fontId="4" fillId="50" borderId="0" xfId="3" applyNumberFormat="1" applyFill="1">
      <alignment vertical="top"/>
    </xf>
    <xf numFmtId="0" fontId="59" fillId="51" borderId="45" xfId="53" applyFont="1" applyFill="1" applyBorder="1" applyAlignment="1">
      <alignment horizontal="left" vertical="top"/>
    </xf>
    <xf numFmtId="0" fontId="59" fillId="51" borderId="44" xfId="53" applyFont="1" applyFill="1" applyBorder="1" applyAlignment="1">
      <alignment horizontal="left" vertical="top" wrapText="1"/>
    </xf>
    <xf numFmtId="0" fontId="59" fillId="51" borderId="43" xfId="53" applyFont="1" applyFill="1" applyBorder="1" applyAlignment="1">
      <alignment horizontal="left" vertical="top"/>
    </xf>
    <xf numFmtId="168" fontId="55" fillId="51" borderId="0" xfId="0" applyNumberFormat="1" applyFont="1" applyFill="1">
      <alignment vertical="top"/>
    </xf>
    <xf numFmtId="177" fontId="55" fillId="51" borderId="0" xfId="4" applyNumberFormat="1" applyFont="1" applyFill="1">
      <alignment vertical="top"/>
    </xf>
    <xf numFmtId="166" fontId="0" fillId="51" borderId="0" xfId="0" applyFill="1">
      <alignment vertical="top"/>
    </xf>
    <xf numFmtId="177" fontId="19" fillId="51" borderId="0" xfId="0" applyNumberFormat="1" applyFont="1" applyFill="1">
      <alignment vertical="top"/>
    </xf>
    <xf numFmtId="167" fontId="19" fillId="51" borderId="0" xfId="4" applyFont="1" applyFill="1">
      <alignment vertical="top"/>
    </xf>
    <xf numFmtId="177" fontId="4" fillId="51" borderId="0" xfId="0" applyNumberFormat="1" applyFont="1" applyFill="1">
      <alignment vertical="top"/>
    </xf>
    <xf numFmtId="177" fontId="39" fillId="51" borderId="40" xfId="0" applyNumberFormat="1" applyFont="1" applyFill="1" applyBorder="1">
      <alignment vertical="top"/>
    </xf>
    <xf numFmtId="177" fontId="39" fillId="51" borderId="0" xfId="0" applyNumberFormat="1" applyFont="1" applyFill="1">
      <alignment vertical="top"/>
    </xf>
    <xf numFmtId="172" fontId="4" fillId="42" borderId="37" xfId="0" applyNumberFormat="1" applyFont="1" applyFill="1" applyBorder="1">
      <alignment vertical="top"/>
    </xf>
    <xf numFmtId="169" fontId="4" fillId="0" borderId="0" xfId="0" applyNumberFormat="1" applyFont="1" applyAlignment="1">
      <alignment horizontal="right"/>
    </xf>
    <xf numFmtId="166" fontId="4" fillId="44" borderId="0" xfId="0" applyFont="1" applyFill="1" applyAlignment="1">
      <alignment horizontal="right" vertical="top"/>
    </xf>
    <xf numFmtId="166" fontId="19" fillId="49" borderId="0" xfId="0" applyFont="1" applyFill="1">
      <alignment vertical="top"/>
    </xf>
    <xf numFmtId="166" fontId="19" fillId="50" borderId="0" xfId="0" applyFont="1" applyFill="1">
      <alignment vertical="top"/>
    </xf>
    <xf numFmtId="166" fontId="0" fillId="0" borderId="0" xfId="0" applyAlignment="1"/>
    <xf numFmtId="0" fontId="2" fillId="52" borderId="0" xfId="55" applyFill="1"/>
    <xf numFmtId="0" fontId="2" fillId="0" borderId="0" xfId="55"/>
    <xf numFmtId="0" fontId="80" fillId="0" borderId="52" xfId="55" applyFont="1" applyBorder="1"/>
    <xf numFmtId="0" fontId="2" fillId="0" borderId="52" xfId="55" applyBorder="1"/>
    <xf numFmtId="0" fontId="2" fillId="0" borderId="52" xfId="55" applyBorder="1" applyAlignment="1">
      <alignment vertical="center"/>
    </xf>
    <xf numFmtId="0" fontId="2" fillId="0" borderId="0" xfId="55" applyAlignment="1">
      <alignment vertical="center"/>
    </xf>
    <xf numFmtId="0" fontId="2" fillId="0" borderId="52" xfId="55" applyBorder="1" applyAlignment="1">
      <alignment wrapText="1"/>
    </xf>
    <xf numFmtId="0" fontId="80" fillId="0" borderId="54" xfId="55" applyFont="1" applyBorder="1"/>
    <xf numFmtId="0" fontId="81" fillId="0" borderId="52" xfId="55" applyFont="1" applyBorder="1"/>
    <xf numFmtId="0" fontId="2" fillId="53" borderId="52" xfId="55" applyFill="1" applyBorder="1"/>
    <xf numFmtId="0" fontId="2" fillId="0" borderId="0" xfId="55" applyAlignment="1">
      <alignment wrapText="1"/>
    </xf>
    <xf numFmtId="0" fontId="82" fillId="0" borderId="52" xfId="55" applyFont="1" applyBorder="1"/>
    <xf numFmtId="22" fontId="1" fillId="0" borderId="0" xfId="57" applyNumberFormat="1"/>
    <xf numFmtId="166" fontId="0" fillId="0" borderId="0" xfId="0" applyFill="1">
      <alignment vertical="top"/>
    </xf>
    <xf numFmtId="17" fontId="2" fillId="53" borderId="52" xfId="55" applyNumberFormat="1" applyFill="1" applyBorder="1"/>
    <xf numFmtId="180" fontId="0" fillId="0" borderId="0" xfId="0" applyNumberFormat="1">
      <alignment vertical="top"/>
    </xf>
    <xf numFmtId="181" fontId="0" fillId="0" borderId="0" xfId="0" applyNumberFormat="1">
      <alignment vertical="top"/>
    </xf>
    <xf numFmtId="182" fontId="0" fillId="0" borderId="0" xfId="0" applyNumberFormat="1">
      <alignment vertical="top"/>
    </xf>
    <xf numFmtId="179" fontId="0" fillId="0" borderId="0" xfId="0" applyNumberFormat="1">
      <alignment vertical="top"/>
    </xf>
    <xf numFmtId="183" fontId="0" fillId="0" borderId="0" xfId="0" applyNumberFormat="1">
      <alignment vertical="top"/>
    </xf>
    <xf numFmtId="184" fontId="0" fillId="0" borderId="0" xfId="0" applyNumberFormat="1">
      <alignment vertical="top"/>
    </xf>
    <xf numFmtId="185" fontId="0" fillId="0" borderId="0" xfId="0" applyNumberFormat="1">
      <alignment vertical="top"/>
    </xf>
    <xf numFmtId="186" fontId="0" fillId="0" borderId="0" xfId="0" applyNumberFormat="1">
      <alignment vertical="top"/>
    </xf>
    <xf numFmtId="187" fontId="0" fillId="0" borderId="0" xfId="0" applyNumberFormat="1">
      <alignment vertical="top"/>
    </xf>
    <xf numFmtId="188" fontId="0" fillId="0" borderId="0" xfId="0" applyNumberFormat="1">
      <alignment vertical="top"/>
    </xf>
    <xf numFmtId="189" fontId="0" fillId="0" borderId="0" xfId="0" applyNumberFormat="1">
      <alignment vertical="top"/>
    </xf>
    <xf numFmtId="190" fontId="0" fillId="0" borderId="0" xfId="0" applyNumberFormat="1">
      <alignment vertical="top"/>
    </xf>
    <xf numFmtId="191" fontId="0" fillId="0" borderId="0" xfId="0" applyNumberFormat="1">
      <alignment vertical="top"/>
    </xf>
    <xf numFmtId="192" fontId="0" fillId="0" borderId="0" xfId="0" applyNumberFormat="1">
      <alignment vertical="top"/>
    </xf>
    <xf numFmtId="168" fontId="4" fillId="0" borderId="0" xfId="5" applyFont="1">
      <alignment vertical="top"/>
    </xf>
    <xf numFmtId="177" fontId="19" fillId="0" borderId="0" xfId="0" applyNumberFormat="1" applyFont="1" applyFill="1">
      <alignment vertical="top"/>
    </xf>
    <xf numFmtId="167" fontId="4" fillId="0" borderId="0" xfId="4" applyFont="1" applyFill="1">
      <alignment vertical="top"/>
    </xf>
    <xf numFmtId="168" fontId="19" fillId="0" borderId="0" xfId="5" applyFont="1" applyFill="1">
      <alignment vertical="top"/>
    </xf>
    <xf numFmtId="166" fontId="19" fillId="0" borderId="0" xfId="0" applyFont="1" applyFill="1">
      <alignment vertical="top"/>
    </xf>
    <xf numFmtId="166" fontId="9" fillId="0" borderId="0" xfId="0" applyFont="1" applyFill="1">
      <alignment vertical="top"/>
    </xf>
    <xf numFmtId="166" fontId="4" fillId="0" borderId="0" xfId="59" applyFont="1">
      <alignment vertical="top"/>
    </xf>
    <xf numFmtId="166" fontId="55" fillId="0" borderId="0" xfId="0" applyFont="1" applyFill="1">
      <alignment vertical="top"/>
    </xf>
    <xf numFmtId="10" fontId="55" fillId="0" borderId="0" xfId="0" applyNumberFormat="1" applyFont="1" applyFill="1">
      <alignment vertical="top"/>
    </xf>
    <xf numFmtId="179" fontId="4" fillId="0" borderId="0" xfId="0" applyNumberFormat="1" applyFont="1" applyFill="1">
      <alignment vertical="top"/>
    </xf>
    <xf numFmtId="166" fontId="4" fillId="0" borderId="0" xfId="0" applyFont="1" applyFill="1">
      <alignment vertical="top"/>
    </xf>
    <xf numFmtId="177" fontId="39" fillId="0" borderId="40" xfId="0" applyNumberFormat="1" applyFont="1" applyFill="1" applyBorder="1">
      <alignment vertical="top"/>
    </xf>
    <xf numFmtId="177" fontId="39" fillId="0" borderId="0" xfId="0" applyNumberFormat="1" applyFont="1" applyFill="1">
      <alignment vertical="top"/>
    </xf>
    <xf numFmtId="177" fontId="4" fillId="0" borderId="0" xfId="0" applyNumberFormat="1" applyFont="1" applyFill="1">
      <alignment vertical="top"/>
    </xf>
    <xf numFmtId="167" fontId="19" fillId="0" borderId="0" xfId="0" applyNumberFormat="1" applyFont="1" applyFill="1">
      <alignment vertical="top"/>
    </xf>
    <xf numFmtId="177" fontId="4" fillId="0" borderId="0" xfId="4" applyNumberFormat="1" applyFill="1">
      <alignment vertical="top"/>
    </xf>
    <xf numFmtId="177" fontId="19" fillId="0" borderId="0" xfId="4" applyNumberFormat="1" applyFont="1" applyFill="1">
      <alignment vertical="top"/>
    </xf>
    <xf numFmtId="167" fontId="19" fillId="0" borderId="0" xfId="4" applyFont="1" applyFill="1">
      <alignment vertical="top"/>
    </xf>
    <xf numFmtId="167" fontId="39" fillId="0" borderId="0" xfId="4" applyFont="1" applyFill="1">
      <alignment vertical="top"/>
    </xf>
    <xf numFmtId="179" fontId="0" fillId="0" borderId="0" xfId="0" applyNumberFormat="1" applyFill="1">
      <alignment vertical="top"/>
    </xf>
    <xf numFmtId="3" fontId="0" fillId="0" borderId="0" xfId="0" applyNumberFormat="1" applyFill="1">
      <alignment vertical="top"/>
    </xf>
    <xf numFmtId="3" fontId="0" fillId="0" borderId="0" xfId="0" applyNumberFormat="1">
      <alignment vertical="top"/>
    </xf>
    <xf numFmtId="10" fontId="0" fillId="0" borderId="0" xfId="0" applyNumberFormat="1" applyFill="1">
      <alignment vertical="top"/>
    </xf>
    <xf numFmtId="3" fontId="55" fillId="0" borderId="0" xfId="0" applyNumberFormat="1" applyFont="1" applyFill="1">
      <alignment vertical="top"/>
    </xf>
    <xf numFmtId="166" fontId="9" fillId="54" borderId="0" xfId="0" applyFont="1" applyFill="1">
      <alignment vertical="top"/>
    </xf>
    <xf numFmtId="166" fontId="0" fillId="0" borderId="47" xfId="0" applyBorder="1">
      <alignment vertical="top"/>
    </xf>
    <xf numFmtId="166" fontId="19" fillId="44" borderId="0" xfId="0" applyFont="1" applyFill="1">
      <alignment vertical="top"/>
    </xf>
    <xf numFmtId="193" fontId="19" fillId="0" borderId="0" xfId="0" applyNumberFormat="1" applyFont="1">
      <alignment vertical="top"/>
    </xf>
    <xf numFmtId="193" fontId="0" fillId="0" borderId="47" xfId="0" applyNumberFormat="1" applyBorder="1">
      <alignment vertical="top"/>
    </xf>
    <xf numFmtId="193" fontId="0" fillId="0" borderId="0" xfId="0" applyNumberFormat="1">
      <alignment vertical="top"/>
    </xf>
    <xf numFmtId="193" fontId="4" fillId="0" borderId="0" xfId="0" applyNumberFormat="1" applyFont="1">
      <alignment vertical="top"/>
    </xf>
    <xf numFmtId="193" fontId="19" fillId="0" borderId="0" xfId="0" applyNumberFormat="1" applyFont="1" applyFill="1">
      <alignment vertical="top"/>
    </xf>
    <xf numFmtId="194" fontId="19" fillId="0" borderId="0" xfId="0" applyNumberFormat="1" applyFont="1">
      <alignment vertical="top"/>
    </xf>
    <xf numFmtId="166" fontId="19" fillId="0" borderId="0" xfId="0" applyFont="1" applyAlignment="1">
      <alignment vertical="top"/>
    </xf>
    <xf numFmtId="195" fontId="0" fillId="0" borderId="0" xfId="0" applyNumberFormat="1">
      <alignment vertical="top"/>
    </xf>
    <xf numFmtId="166" fontId="0" fillId="0" borderId="0" xfId="0" applyBorder="1">
      <alignment vertical="top"/>
    </xf>
    <xf numFmtId="193" fontId="0" fillId="0" borderId="0" xfId="0" applyNumberFormat="1" applyBorder="1">
      <alignment vertical="top"/>
    </xf>
    <xf numFmtId="166" fontId="0" fillId="54" borderId="0" xfId="0" applyFill="1">
      <alignment vertical="top"/>
    </xf>
    <xf numFmtId="166" fontId="19" fillId="44" borderId="0" xfId="0" applyNumberFormat="1" applyFont="1" applyFill="1">
      <alignment vertical="top"/>
    </xf>
    <xf numFmtId="168" fontId="53" fillId="0" borderId="0" xfId="5" applyFont="1" applyFill="1">
      <alignment vertical="top"/>
    </xf>
    <xf numFmtId="166" fontId="53" fillId="0" borderId="0" xfId="0" applyFont="1" applyFill="1">
      <alignment vertical="top"/>
    </xf>
    <xf numFmtId="169" fontId="4" fillId="0" borderId="0" xfId="0" applyNumberFormat="1" applyFont="1" applyFill="1">
      <alignment vertical="top"/>
    </xf>
    <xf numFmtId="169" fontId="9" fillId="0" borderId="0" xfId="0" applyNumberFormat="1" applyFont="1" applyFill="1">
      <alignment vertical="top"/>
    </xf>
    <xf numFmtId="168" fontId="4" fillId="0" borderId="0" xfId="5" applyFont="1" applyFill="1">
      <alignment vertical="top"/>
    </xf>
    <xf numFmtId="168" fontId="9" fillId="0" borderId="0" xfId="5" applyFont="1" applyFill="1">
      <alignment vertical="top"/>
    </xf>
    <xf numFmtId="166" fontId="4" fillId="44" borderId="0" xfId="0" applyNumberFormat="1" applyFont="1" applyFill="1">
      <alignment vertical="top"/>
    </xf>
    <xf numFmtId="168" fontId="4" fillId="0" borderId="0" xfId="5" applyNumberFormat="1" applyFont="1" applyFill="1">
      <alignment vertical="top"/>
    </xf>
    <xf numFmtId="193" fontId="0" fillId="0" borderId="47" xfId="0" applyNumberFormat="1" applyFill="1" applyBorder="1">
      <alignment vertical="top"/>
    </xf>
    <xf numFmtId="193" fontId="0" fillId="0" borderId="0" xfId="0" applyNumberFormat="1" applyFill="1" applyBorder="1">
      <alignment vertical="top"/>
    </xf>
    <xf numFmtId="168" fontId="0" fillId="0" borderId="0" xfId="5" applyFont="1" applyFill="1">
      <alignment vertical="top"/>
    </xf>
    <xf numFmtId="193" fontId="0" fillId="0" borderId="0" xfId="0" applyNumberFormat="1" applyFill="1">
      <alignment vertical="top"/>
    </xf>
    <xf numFmtId="168" fontId="0" fillId="0" borderId="0" xfId="5" applyNumberFormat="1" applyFont="1" applyFill="1">
      <alignment vertical="top"/>
    </xf>
    <xf numFmtId="166" fontId="0" fillId="0" borderId="0" xfId="0" applyNumberFormat="1" applyFill="1">
      <alignment vertical="top"/>
    </xf>
    <xf numFmtId="194" fontId="19" fillId="0" borderId="0" xfId="0" applyNumberFormat="1" applyFont="1" applyFill="1">
      <alignment vertical="top"/>
    </xf>
    <xf numFmtId="193" fontId="4" fillId="42" borderId="37" xfId="0" applyNumberFormat="1" applyFont="1" applyFill="1" applyBorder="1">
      <alignment vertical="top"/>
    </xf>
    <xf numFmtId="167" fontId="4" fillId="42" borderId="37" xfId="0" applyNumberFormat="1" applyFont="1" applyFill="1" applyBorder="1">
      <alignment vertical="top"/>
    </xf>
    <xf numFmtId="193" fontId="19" fillId="49" borderId="0" xfId="0" applyNumberFormat="1" applyFont="1" applyFill="1">
      <alignment vertical="top"/>
    </xf>
    <xf numFmtId="0" fontId="2" fillId="0" borderId="52" xfId="55" applyBorder="1" applyAlignment="1">
      <alignment horizontal="left" wrapText="1"/>
    </xf>
    <xf numFmtId="0" fontId="2" fillId="0" borderId="53" xfId="55" applyBorder="1" applyAlignment="1">
      <alignment horizontal="left"/>
    </xf>
    <xf numFmtId="0" fontId="2" fillId="53" borderId="52" xfId="55" applyFill="1" applyBorder="1" applyAlignment="1">
      <alignment horizontal="left"/>
    </xf>
    <xf numFmtId="0" fontId="2" fillId="53" borderId="52" xfId="55" applyFill="1" applyBorder="1" applyAlignment="1">
      <alignment horizontal="left" wrapText="1"/>
    </xf>
    <xf numFmtId="0" fontId="2" fillId="0" borderId="49" xfId="55" applyBorder="1" applyAlignment="1">
      <alignment horizontal="center" wrapText="1"/>
    </xf>
    <xf numFmtId="0" fontId="2" fillId="0" borderId="50" xfId="55" applyBorder="1" applyAlignment="1">
      <alignment horizontal="center" wrapText="1"/>
    </xf>
    <xf numFmtId="0" fontId="2" fillId="0" borderId="51" xfId="55" applyBorder="1" applyAlignment="1">
      <alignment horizontal="center" wrapText="1"/>
    </xf>
    <xf numFmtId="17" fontId="2" fillId="53" borderId="52" xfId="55" applyNumberFormat="1" applyFill="1" applyBorder="1" applyAlignment="1">
      <alignment horizontal="left"/>
    </xf>
    <xf numFmtId="166" fontId="66" fillId="46" borderId="0" xfId="50" applyNumberFormat="1" applyFont="1" applyFill="1" applyAlignment="1">
      <alignment vertical="top"/>
    </xf>
    <xf numFmtId="166" fontId="66" fillId="46" borderId="0" xfId="0" applyFont="1" applyFill="1" applyAlignment="1">
      <alignment vertical="top"/>
    </xf>
  </cellXfs>
  <cellStyles count="6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1" builtinId="3" hidden="1" customBuiltin="1"/>
    <cellStyle name="Comma" xfId="52" builtinId="3" hidden="1"/>
    <cellStyle name="Comma [0]" xfId="6" builtinId="6" hidden="1" customBuiltin="1"/>
    <cellStyle name="Currency" xfId="7" builtinId="4" hidden="1" customBuiltin="1"/>
    <cellStyle name="Currency [0]" xfId="8" builtinId="7" hidden="1" customBuiltin="1"/>
    <cellStyle name="DateLong" xfId="2" xr:uid="{00000000-0005-0000-0000-000020000000}"/>
    <cellStyle name="DateShort" xfId="3" xr:uid="{00000000-0005-0000-0000-000021000000}"/>
    <cellStyle name="Explanatory Text" xfId="24" builtinId="53" customBuiltin="1"/>
    <cellStyle name="Factor" xfId="4" xr:uid="{00000000-0005-0000-0000-000023000000}"/>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12" xfId="57" xr:uid="{00000000-0005-0000-0000-00002E000000}"/>
    <cellStyle name="Normal 2" xfId="53" xr:uid="{00000000-0005-0000-0000-00002F000000}"/>
    <cellStyle name="Normal 2 4" xfId="56" xr:uid="{00000000-0005-0000-0000-000030000000}"/>
    <cellStyle name="Normal 2 5" xfId="58" xr:uid="{00000000-0005-0000-0000-000031000000}"/>
    <cellStyle name="Normal 3" xfId="55" xr:uid="{00000000-0005-0000-0000-000032000000}"/>
    <cellStyle name="Normal 4" xfId="54" xr:uid="{00000000-0005-0000-0000-000033000000}"/>
    <cellStyle name="Normal 5" xfId="59" xr:uid="{00000000-0005-0000-0000-000034000000}"/>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xr:uid="{00000000-0005-0000-0000-00003B00000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rgb="FFFF0000"/>
        </patternFill>
      </fill>
    </dxf>
  </dxfs>
  <tableStyles count="0" defaultTableStyle="TableStyleMedium2" defaultPivotStyle="PivotStyleLight16"/>
  <colors>
    <mruColors>
      <color rgb="FF99CCFF"/>
      <color rgb="FF0000FF"/>
      <color rgb="FFCCFFFF"/>
      <color rgb="FFFFFF00"/>
      <color rgb="FF99FF66"/>
      <color rgb="FFC0C0C0"/>
      <color rgb="FFFFCC00"/>
      <color rgb="FFFF9900"/>
      <color rgb="FFFFCCFF"/>
      <color rgb="FF99E1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a16="http://schemas.microsoft.com/office/drawing/2014/main"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a16="http://schemas.microsoft.com/office/drawing/2014/main"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a16="http://schemas.microsoft.com/office/drawing/2014/main"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a16="http://schemas.microsoft.com/office/drawing/2014/main"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a16="http://schemas.microsoft.com/office/drawing/2014/main"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a16="http://schemas.microsoft.com/office/drawing/2014/main"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a16="http://schemas.microsoft.com/office/drawing/2014/main"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a16="http://schemas.microsoft.com/office/drawing/2014/main"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R19@ofwat.gsi.gov.uk" TargetMode="External"/><Relationship Id="rId1" Type="http://schemas.openxmlformats.org/officeDocument/2006/relationships/hyperlink" Target="mailto:PR19@ofwat.gsi.gov.uk"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javascript:AppendPopup(this,'785243203_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sheetPr>
  <dimension ref="A2:J52"/>
  <sheetViews>
    <sheetView showGridLines="0" topLeftCell="A7" zoomScale="90" zoomScaleNormal="90" workbookViewId="0">
      <selection activeCell="E17" sqref="E17:I17"/>
    </sheetView>
  </sheetViews>
  <sheetFormatPr defaultColWidth="9.85546875" defaultRowHeight="14.25"/>
  <cols>
    <col min="1" max="1" width="9.85546875" style="323"/>
    <col min="2" max="2" width="2.42578125" style="323" bestFit="1" customWidth="1"/>
    <col min="3" max="3" width="0.85546875" style="323" customWidth="1"/>
    <col min="4" max="4" width="61.28515625" style="323" customWidth="1"/>
    <col min="5" max="5" width="13.7109375" style="323" customWidth="1"/>
    <col min="6" max="6" width="16.140625" style="323" customWidth="1"/>
    <col min="7" max="7" width="16.7109375" style="323" customWidth="1"/>
    <col min="8" max="8" width="19.5703125" style="323" customWidth="1"/>
    <col min="9" max="9" width="13.42578125" style="323" customWidth="1"/>
    <col min="10" max="10" width="0.85546875" style="323" customWidth="1"/>
    <col min="11" max="16384" width="9.85546875" style="323"/>
  </cols>
  <sheetData>
    <row r="2" spans="3:10" ht="6" customHeight="1">
      <c r="C2" s="322"/>
      <c r="D2" s="322"/>
      <c r="E2" s="322"/>
      <c r="F2" s="322"/>
      <c r="G2" s="322"/>
      <c r="H2" s="322"/>
      <c r="I2" s="322"/>
      <c r="J2" s="322"/>
    </row>
    <row r="3" spans="3:10" ht="27.95" customHeight="1">
      <c r="C3" s="322"/>
      <c r="D3" s="412" t="s">
        <v>0</v>
      </c>
      <c r="E3" s="413"/>
      <c r="F3" s="413"/>
      <c r="G3" s="413"/>
      <c r="H3" s="413"/>
      <c r="I3" s="414"/>
      <c r="J3" s="322"/>
    </row>
    <row r="4" spans="3:10">
      <c r="C4" s="322"/>
      <c r="J4" s="322"/>
    </row>
    <row r="5" spans="3:10" ht="15">
      <c r="C5" s="322"/>
      <c r="D5" s="324" t="s">
        <v>1</v>
      </c>
      <c r="J5" s="322"/>
    </row>
    <row r="6" spans="3:10">
      <c r="C6" s="322"/>
      <c r="J6" s="322"/>
    </row>
    <row r="7" spans="3:10">
      <c r="C7" s="322"/>
      <c r="D7" s="325" t="s">
        <v>2</v>
      </c>
      <c r="E7" s="410" t="s">
        <v>3</v>
      </c>
      <c r="F7" s="410"/>
      <c r="G7" s="410"/>
      <c r="H7" s="410"/>
      <c r="I7" s="410"/>
      <c r="J7" s="322"/>
    </row>
    <row r="8" spans="3:10">
      <c r="C8" s="322"/>
      <c r="D8" s="325" t="s">
        <v>4</v>
      </c>
      <c r="E8" s="410" t="s">
        <v>5</v>
      </c>
      <c r="F8" s="410"/>
      <c r="G8" s="410"/>
      <c r="H8" s="410"/>
      <c r="I8" s="410"/>
      <c r="J8" s="322"/>
    </row>
    <row r="9" spans="3:10">
      <c r="C9" s="322"/>
      <c r="D9" s="325" t="s">
        <v>6</v>
      </c>
      <c r="E9" s="415">
        <v>43282</v>
      </c>
      <c r="F9" s="410"/>
      <c r="G9" s="410"/>
      <c r="H9" s="410"/>
      <c r="I9" s="410"/>
      <c r="J9" s="322"/>
    </row>
    <row r="10" spans="3:10">
      <c r="C10" s="322"/>
      <c r="D10" s="325" t="s">
        <v>7</v>
      </c>
      <c r="E10" s="410" t="s">
        <v>8</v>
      </c>
      <c r="F10" s="410"/>
      <c r="G10" s="410"/>
      <c r="H10" s="410"/>
      <c r="I10" s="410"/>
      <c r="J10" s="322"/>
    </row>
    <row r="11" spans="3:10" ht="43.5" customHeight="1">
      <c r="C11" s="322"/>
      <c r="D11" s="326" t="s">
        <v>9</v>
      </c>
      <c r="E11" s="411" t="s">
        <v>10</v>
      </c>
      <c r="F11" s="411"/>
      <c r="G11" s="411"/>
      <c r="H11" s="411"/>
      <c r="I11" s="411"/>
      <c r="J11" s="322"/>
    </row>
    <row r="12" spans="3:10">
      <c r="C12" s="322"/>
      <c r="D12" s="327" t="s">
        <v>11</v>
      </c>
      <c r="E12" s="409" t="e">
        <f ca="1">MID(CELL("filename",A1),FIND("[",CELL("filename",A1))+1,FIND("]", CELL("filename",A1))-FIND("[",CELL("filename",A1))-1)</f>
        <v>#VALUE!</v>
      </c>
      <c r="F12" s="409"/>
      <c r="G12" s="409"/>
      <c r="H12" s="409"/>
      <c r="I12" s="409"/>
      <c r="J12" s="322"/>
    </row>
    <row r="13" spans="3:10">
      <c r="C13" s="322"/>
      <c r="J13" s="322"/>
    </row>
    <row r="14" spans="3:10" ht="15">
      <c r="C14" s="322"/>
      <c r="D14" s="324" t="s">
        <v>12</v>
      </c>
      <c r="J14" s="322"/>
    </row>
    <row r="15" spans="3:10">
      <c r="C15" s="322"/>
      <c r="J15" s="322"/>
    </row>
    <row r="16" spans="3:10">
      <c r="C16" s="322"/>
      <c r="D16" s="328" t="s">
        <v>13</v>
      </c>
      <c r="E16" s="410" t="s">
        <v>14</v>
      </c>
      <c r="F16" s="410"/>
      <c r="G16" s="410"/>
      <c r="H16" s="410"/>
      <c r="I16" s="410"/>
      <c r="J16" s="322"/>
    </row>
    <row r="17" spans="3:10">
      <c r="C17" s="322"/>
      <c r="D17" s="325" t="s">
        <v>15</v>
      </c>
      <c r="E17" s="410" t="s">
        <v>16</v>
      </c>
      <c r="F17" s="410"/>
      <c r="G17" s="410"/>
      <c r="H17" s="410"/>
      <c r="I17" s="410"/>
      <c r="J17" s="322"/>
    </row>
    <row r="18" spans="3:10">
      <c r="C18" s="322"/>
      <c r="D18" s="325" t="s">
        <v>17</v>
      </c>
      <c r="E18" s="410" t="s">
        <v>18</v>
      </c>
      <c r="F18" s="410"/>
      <c r="G18" s="410"/>
      <c r="H18" s="410"/>
      <c r="I18" s="410"/>
      <c r="J18" s="322"/>
    </row>
    <row r="19" spans="3:10">
      <c r="C19" s="322"/>
      <c r="J19" s="322"/>
    </row>
    <row r="20" spans="3:10" ht="15">
      <c r="C20" s="322"/>
      <c r="D20" s="329" t="s">
        <v>19</v>
      </c>
      <c r="J20" s="322"/>
    </row>
    <row r="21" spans="3:10">
      <c r="C21" s="322"/>
      <c r="D21" s="330" t="s">
        <v>20</v>
      </c>
      <c r="E21" s="325" t="s">
        <v>21</v>
      </c>
      <c r="J21" s="322"/>
    </row>
    <row r="22" spans="3:10">
      <c r="C22" s="322"/>
      <c r="D22" s="328" t="s">
        <v>22</v>
      </c>
      <c r="E22" s="331" t="s">
        <v>23</v>
      </c>
      <c r="J22" s="322"/>
    </row>
    <row r="23" spans="3:10">
      <c r="C23" s="322"/>
      <c r="D23" s="328" t="s">
        <v>24</v>
      </c>
      <c r="E23" s="331" t="s">
        <v>23</v>
      </c>
      <c r="J23" s="322"/>
    </row>
    <row r="24" spans="3:10">
      <c r="C24" s="322"/>
      <c r="D24" s="325" t="s">
        <v>25</v>
      </c>
      <c r="E24" s="331" t="s">
        <v>23</v>
      </c>
      <c r="J24" s="322"/>
    </row>
    <row r="25" spans="3:10">
      <c r="C25" s="322"/>
      <c r="D25" s="331" t="s">
        <v>26</v>
      </c>
      <c r="J25" s="322"/>
    </row>
    <row r="26" spans="3:10">
      <c r="C26" s="322"/>
      <c r="D26" s="331" t="s">
        <v>27</v>
      </c>
      <c r="J26" s="322"/>
    </row>
    <row r="27" spans="3:10">
      <c r="C27" s="322"/>
      <c r="D27" s="331" t="s">
        <v>28</v>
      </c>
      <c r="J27" s="322"/>
    </row>
    <row r="28" spans="3:10">
      <c r="C28" s="322"/>
      <c r="D28" s="331" t="s">
        <v>29</v>
      </c>
      <c r="J28" s="322"/>
    </row>
    <row r="29" spans="3:10" ht="65.25" customHeight="1">
      <c r="C29" s="322"/>
      <c r="D29" s="328" t="s">
        <v>30</v>
      </c>
      <c r="E29" s="411" t="s">
        <v>31</v>
      </c>
      <c r="F29" s="411"/>
      <c r="G29" s="411"/>
      <c r="H29" s="411"/>
      <c r="I29" s="411"/>
      <c r="J29" s="322"/>
    </row>
    <row r="30" spans="3:10" ht="6" customHeight="1">
      <c r="C30" s="322"/>
      <c r="D30" s="322"/>
      <c r="E30" s="322"/>
      <c r="F30" s="322"/>
      <c r="G30" s="322"/>
      <c r="H30" s="322"/>
      <c r="I30" s="322"/>
      <c r="J30" s="322"/>
    </row>
    <row r="32" spans="3:10" ht="6" customHeight="1">
      <c r="C32" s="322"/>
      <c r="D32" s="322"/>
      <c r="E32" s="322"/>
      <c r="F32" s="322"/>
      <c r="G32" s="322"/>
      <c r="H32" s="322"/>
      <c r="I32" s="322"/>
      <c r="J32" s="322"/>
    </row>
    <row r="33" spans="1:10" ht="30.6" customHeight="1">
      <c r="C33" s="322"/>
      <c r="D33" s="412" t="s">
        <v>32</v>
      </c>
      <c r="E33" s="413"/>
      <c r="F33" s="413"/>
      <c r="G33" s="413"/>
      <c r="H33" s="413"/>
      <c r="I33" s="414"/>
      <c r="J33" s="322"/>
    </row>
    <row r="34" spans="1:10">
      <c r="C34" s="322"/>
      <c r="J34" s="322"/>
    </row>
    <row r="35" spans="1:10">
      <c r="C35" s="322"/>
      <c r="D35" s="330" t="s">
        <v>33</v>
      </c>
      <c r="E35" s="325" t="s">
        <v>21</v>
      </c>
      <c r="F35" s="325" t="s">
        <v>34</v>
      </c>
      <c r="G35" s="325" t="s">
        <v>35</v>
      </c>
      <c r="H35" s="325" t="s">
        <v>36</v>
      </c>
      <c r="I35" s="325" t="s">
        <v>37</v>
      </c>
      <c r="J35" s="322"/>
    </row>
    <row r="36" spans="1:10">
      <c r="C36" s="322"/>
      <c r="D36" s="325" t="s">
        <v>38</v>
      </c>
      <c r="E36" s="331" t="s">
        <v>39</v>
      </c>
      <c r="F36" s="331"/>
      <c r="G36" s="331"/>
      <c r="H36" s="331"/>
      <c r="I36" s="331"/>
      <c r="J36" s="322"/>
    </row>
    <row r="37" spans="1:10" ht="28.5">
      <c r="C37" s="322"/>
      <c r="D37" s="328" t="s">
        <v>40</v>
      </c>
      <c r="E37" s="331" t="s">
        <v>39</v>
      </c>
      <c r="F37" s="331"/>
      <c r="G37" s="331"/>
      <c r="H37" s="331"/>
      <c r="I37" s="331"/>
      <c r="J37" s="322"/>
    </row>
    <row r="38" spans="1:10">
      <c r="C38" s="322"/>
      <c r="D38" s="328" t="s">
        <v>41</v>
      </c>
      <c r="E38" s="331" t="s">
        <v>23</v>
      </c>
      <c r="F38" s="331"/>
      <c r="G38" s="331"/>
      <c r="H38" s="331"/>
      <c r="I38" s="331"/>
      <c r="J38" s="322"/>
    </row>
    <row r="39" spans="1:10" ht="28.5">
      <c r="C39" s="322"/>
      <c r="D39" s="328" t="s">
        <v>42</v>
      </c>
      <c r="E39" s="331" t="s">
        <v>39</v>
      </c>
      <c r="F39" s="331"/>
      <c r="G39" s="331"/>
      <c r="H39" s="331"/>
      <c r="I39" s="331"/>
      <c r="J39" s="322"/>
    </row>
    <row r="40" spans="1:10">
      <c r="C40" s="322"/>
      <c r="D40" s="325" t="s">
        <v>43</v>
      </c>
      <c r="E40" s="331" t="s">
        <v>23</v>
      </c>
      <c r="F40" s="331" t="s">
        <v>18</v>
      </c>
      <c r="G40" s="336">
        <v>43282</v>
      </c>
      <c r="H40" s="331" t="s">
        <v>44</v>
      </c>
      <c r="I40" s="336">
        <v>43282</v>
      </c>
      <c r="J40" s="322"/>
    </row>
    <row r="41" spans="1:10">
      <c r="C41" s="322"/>
      <c r="D41" s="330" t="s">
        <v>45</v>
      </c>
      <c r="E41" s="325" t="s">
        <v>21</v>
      </c>
      <c r="F41" s="325" t="s">
        <v>34</v>
      </c>
      <c r="G41" s="325" t="s">
        <v>35</v>
      </c>
      <c r="H41" s="325" t="s">
        <v>36</v>
      </c>
      <c r="I41" s="325" t="s">
        <v>37</v>
      </c>
      <c r="J41" s="322"/>
    </row>
    <row r="42" spans="1:10" ht="28.5">
      <c r="C42" s="322"/>
      <c r="D42" s="328" t="s">
        <v>46</v>
      </c>
      <c r="E42" s="331" t="s">
        <v>47</v>
      </c>
      <c r="F42" s="331"/>
      <c r="G42" s="331"/>
      <c r="H42" s="331"/>
      <c r="I42" s="331"/>
      <c r="J42" s="322"/>
    </row>
    <row r="43" spans="1:10">
      <c r="A43" s="332"/>
      <c r="C43" s="322"/>
      <c r="D43" s="328" t="s">
        <v>48</v>
      </c>
      <c r="E43" s="331"/>
      <c r="F43" s="331"/>
      <c r="G43" s="331"/>
      <c r="H43" s="331"/>
      <c r="I43" s="331"/>
      <c r="J43" s="322"/>
    </row>
    <row r="44" spans="1:10">
      <c r="C44" s="322"/>
      <c r="D44" s="325" t="s">
        <v>49</v>
      </c>
      <c r="E44" s="331" t="s">
        <v>47</v>
      </c>
      <c r="F44" s="331"/>
      <c r="G44" s="331"/>
      <c r="H44" s="331"/>
      <c r="I44" s="331"/>
      <c r="J44" s="322"/>
    </row>
    <row r="45" spans="1:10">
      <c r="C45" s="322"/>
      <c r="D45" s="325" t="s">
        <v>50</v>
      </c>
      <c r="E45" s="331" t="s">
        <v>23</v>
      </c>
      <c r="F45" s="331"/>
      <c r="G45" s="331"/>
      <c r="H45" s="331" t="s">
        <v>18</v>
      </c>
      <c r="I45" s="336">
        <v>43374</v>
      </c>
      <c r="J45" s="322"/>
    </row>
    <row r="46" spans="1:10">
      <c r="C46" s="322"/>
      <c r="J46" s="322"/>
    </row>
    <row r="47" spans="1:10">
      <c r="C47" s="322"/>
      <c r="D47" s="333" t="s">
        <v>51</v>
      </c>
      <c r="J47" s="322"/>
    </row>
    <row r="48" spans="1:10">
      <c r="C48" s="322"/>
      <c r="J48" s="322"/>
    </row>
    <row r="49" spans="3:10" ht="59.1" customHeight="1">
      <c r="C49" s="322"/>
      <c r="D49" s="408" t="str">
        <f>"I "&amp; E16 &amp;" as SRO for the Model defined above agree that 
• the QA process used is compliant and appropriate;
• model risks, limitations and major assumptions are understood by the users of the model; and
• the model output is correct."</f>
        <v>I Jacob Wood as SRO for the Model defined above agree that 
• the QA process used is compliant and appropriate;
• model risks, limitations and major assumptions are understood by the users of the model; and
• the model output is correct.</v>
      </c>
      <c r="E49" s="408"/>
      <c r="F49" s="408"/>
      <c r="G49" s="408"/>
      <c r="J49" s="322"/>
    </row>
    <row r="50" spans="3:10">
      <c r="C50" s="322"/>
      <c r="D50" s="325" t="str">
        <f>"Signed by: " &amp; E16</f>
        <v>Signed by: Jacob Wood</v>
      </c>
      <c r="E50" s="331"/>
      <c r="F50" s="325" t="s">
        <v>52</v>
      </c>
      <c r="G50" s="331"/>
      <c r="J50" s="322"/>
    </row>
    <row r="51" spans="3:10">
      <c r="C51" s="322"/>
      <c r="J51" s="322"/>
    </row>
    <row r="52" spans="3:10" ht="6" customHeight="1">
      <c r="C52" s="322"/>
      <c r="D52" s="322"/>
      <c r="E52" s="322"/>
      <c r="F52" s="322"/>
      <c r="G52" s="322"/>
      <c r="H52" s="322"/>
      <c r="I52" s="322"/>
      <c r="J52" s="322"/>
    </row>
  </sheetData>
  <mergeCells count="13">
    <mergeCell ref="E11:I11"/>
    <mergeCell ref="D3:I3"/>
    <mergeCell ref="E7:I7"/>
    <mergeCell ref="E8:I8"/>
    <mergeCell ref="E9:I9"/>
    <mergeCell ref="E10:I10"/>
    <mergeCell ref="D49:G49"/>
    <mergeCell ref="E12:I12"/>
    <mergeCell ref="E16:I16"/>
    <mergeCell ref="E17:I17"/>
    <mergeCell ref="E18:I18"/>
    <mergeCell ref="E29:I29"/>
    <mergeCell ref="D33:I33"/>
  </mergeCells>
  <dataValidations count="2">
    <dataValidation type="list" allowBlank="1" showInputMessage="1" showErrorMessage="1" sqref="E50 E42:E45" xr:uid="{00000000-0002-0000-0000-000000000000}">
      <formula1>"Yes,No"</formula1>
    </dataValidation>
    <dataValidation type="list" allowBlank="1" showInputMessage="1" showErrorMessage="1" sqref="E22:E24 E36:E40" xr:uid="{00000000-0002-0000-0000-000001000000}">
      <formula1>"Yes,No,N/A"</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V112"/>
  <sheetViews>
    <sheetView showGridLines="0" defaultGridColor="0" colorId="22" zoomScale="80" zoomScaleNormal="80" workbookViewId="0">
      <pane xSplit="9" ySplit="5" topLeftCell="J6" activePane="bottomRight" state="frozen"/>
      <selection pane="bottomRight" activeCell="F2" sqref="F2"/>
      <selection pane="bottomLeft" activeCell="F2" sqref="F2"/>
      <selection pane="topRight" activeCell="F2" sqref="F2"/>
    </sheetView>
  </sheetViews>
  <sheetFormatPr defaultColWidth="0" defaultRowHeight="12.75" outlineLevelRow="2"/>
  <cols>
    <col min="1"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c r="A1" s="26" t="e">
        <f ca="1" xml:space="preserve"> RIGHT(CELL("filename", $A$1), LEN(CELL("filename", $A$1)) - SEARCH("]", CELL("filename", $A$1)))</f>
        <v>#VALUE!</v>
      </c>
      <c r="B1" s="26"/>
      <c r="C1" s="27"/>
      <c r="D1" s="1"/>
      <c r="E1" s="1"/>
      <c r="F1" s="142"/>
      <c r="G1" s="143"/>
      <c r="H1" s="139"/>
      <c r="I1" s="1"/>
      <c r="J1" s="88"/>
      <c r="K1" s="1"/>
      <c r="L1" s="1"/>
      <c r="M1" s="1"/>
      <c r="N1" s="1"/>
      <c r="O1" s="1"/>
      <c r="P1" s="1"/>
      <c r="Q1" s="1"/>
      <c r="R1" s="1"/>
      <c r="S1" s="1"/>
      <c r="T1" s="1"/>
      <c r="U1" s="1"/>
      <c r="V1" s="1"/>
    </row>
    <row r="2" spans="1:22" ht="12.75" customHeight="1">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c r="E5" s="3" t="str">
        <f xml:space="preserve"> Time!E$10</f>
        <v>Model column counter</v>
      </c>
      <c r="F5" s="29" t="s">
        <v>538</v>
      </c>
      <c r="G5" s="10" t="s">
        <v>105</v>
      </c>
      <c r="H5" s="29" t="s">
        <v>539</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 r="A7" s="39" t="s">
        <v>570</v>
      </c>
      <c r="B7" s="39"/>
      <c r="C7" s="40"/>
      <c r="D7" s="39"/>
      <c r="E7" s="39"/>
      <c r="F7" s="39"/>
      <c r="G7" s="39"/>
      <c r="H7" s="39"/>
      <c r="I7" s="39"/>
      <c r="J7" s="39"/>
      <c r="K7" s="39"/>
      <c r="L7" s="39"/>
      <c r="M7" s="39"/>
      <c r="N7" s="39"/>
      <c r="O7" s="39"/>
      <c r="P7" s="39"/>
      <c r="Q7" s="39"/>
      <c r="R7" s="39"/>
      <c r="S7" s="39"/>
      <c r="T7" s="39"/>
      <c r="U7" s="39"/>
      <c r="V7" s="39"/>
    </row>
    <row r="8" spans="1:22" outlineLevel="1"/>
    <row r="9" spans="1:22" outlineLevel="1">
      <c r="B9" s="10" t="s">
        <v>685</v>
      </c>
    </row>
    <row r="10" spans="1:22" s="148" customFormat="1" outlineLevel="1">
      <c r="A10" s="160"/>
      <c r="B10" s="160"/>
      <c r="C10" s="161"/>
      <c r="D10" s="162"/>
      <c r="E10" s="171" t="str">
        <f xml:space="preserve"> Inputs!E$35</f>
        <v>Consumer Price Index for April</v>
      </c>
      <c r="F10" s="171">
        <f xml:space="preserve"> Inputs!F$35</f>
        <v>0</v>
      </c>
      <c r="G10" s="171" t="str">
        <f xml:space="preserve"> Inputs!G$35</f>
        <v>index</v>
      </c>
      <c r="H10" s="171">
        <f xml:space="preserve"> Inputs!H$35</f>
        <v>0</v>
      </c>
      <c r="I10" s="171">
        <f xml:space="preserve"> Inputs!I$35</f>
        <v>0</v>
      </c>
      <c r="J10" s="171">
        <f xml:space="preserve"> Inputs!J$35</f>
        <v>95.9</v>
      </c>
      <c r="K10" s="171">
        <f xml:space="preserve"> Inputs!K$35</f>
        <v>98</v>
      </c>
      <c r="L10" s="171">
        <f xml:space="preserve"> Inputs!L$35</f>
        <v>99.6</v>
      </c>
      <c r="M10" s="171">
        <f xml:space="preserve"> Inputs!M$35</f>
        <v>99.9</v>
      </c>
      <c r="N10" s="171">
        <f xml:space="preserve"> Inputs!N$35</f>
        <v>100.6</v>
      </c>
      <c r="O10" s="171">
        <f xml:space="preserve"> Inputs!O$35</f>
        <v>103.2</v>
      </c>
      <c r="P10" s="171">
        <f xml:space="preserve"> Inputs!P$35</f>
        <v>105.5</v>
      </c>
      <c r="Q10" s="171">
        <f xml:space="preserve"> Inputs!Q$35</f>
        <v>107.6</v>
      </c>
      <c r="R10" s="171">
        <f xml:space="preserve"> Inputs!R$35</f>
        <v>109.8</v>
      </c>
      <c r="S10" s="171">
        <f xml:space="preserve"> Inputs!S$35</f>
        <v>112</v>
      </c>
      <c r="T10" s="171">
        <f xml:space="preserve"> Inputs!T$35</f>
        <v>114.2</v>
      </c>
      <c r="U10" s="171">
        <f xml:space="preserve"> Inputs!U$35</f>
        <v>116.5</v>
      </c>
      <c r="V10" s="171">
        <f xml:space="preserve"> Inputs!V$35</f>
        <v>118.8</v>
      </c>
    </row>
    <row r="11" spans="1:22" s="148" customFormat="1" outlineLevel="2">
      <c r="A11" s="160"/>
      <c r="B11" s="160"/>
      <c r="C11" s="161"/>
      <c r="D11" s="162"/>
      <c r="E11" s="171" t="str">
        <f xml:space="preserve"> Inputs!E$36</f>
        <v>Consumer Price Index for May</v>
      </c>
      <c r="F11" s="171">
        <f xml:space="preserve"> Inputs!F$36</f>
        <v>0</v>
      </c>
      <c r="G11" s="171" t="str">
        <f xml:space="preserve"> Inputs!G$36</f>
        <v>index</v>
      </c>
      <c r="H11" s="171">
        <f xml:space="preserve"> Inputs!H$36</f>
        <v>0</v>
      </c>
      <c r="I11" s="171">
        <f xml:space="preserve"> Inputs!I$36</f>
        <v>0</v>
      </c>
      <c r="J11" s="171">
        <f xml:space="preserve"> Inputs!J$36</f>
        <v>95.9</v>
      </c>
      <c r="K11" s="171">
        <f xml:space="preserve"> Inputs!K$36</f>
        <v>98.2</v>
      </c>
      <c r="L11" s="171">
        <f xml:space="preserve"> Inputs!L$36</f>
        <v>99.6</v>
      </c>
      <c r="M11" s="171">
        <f xml:space="preserve"> Inputs!M$36</f>
        <v>100.1</v>
      </c>
      <c r="N11" s="171">
        <f xml:space="preserve"> Inputs!N$36</f>
        <v>100.8</v>
      </c>
      <c r="O11" s="171">
        <f xml:space="preserve"> Inputs!O$36</f>
        <v>103.5</v>
      </c>
      <c r="P11" s="171">
        <f xml:space="preserve"> Inputs!P$36</f>
        <v>105.9</v>
      </c>
      <c r="Q11" s="171">
        <f xml:space="preserve"> Inputs!Q$36</f>
        <v>107.9</v>
      </c>
      <c r="R11" s="171">
        <f xml:space="preserve"> Inputs!R$36</f>
        <v>110.2</v>
      </c>
      <c r="S11" s="171">
        <f xml:space="preserve"> Inputs!S$36</f>
        <v>112.4</v>
      </c>
      <c r="T11" s="171">
        <f xml:space="preserve"> Inputs!T$36</f>
        <v>114.6</v>
      </c>
      <c r="U11" s="171">
        <f xml:space="preserve"> Inputs!U$36</f>
        <v>116.9</v>
      </c>
      <c r="V11" s="171">
        <f xml:space="preserve"> Inputs!V$36</f>
        <v>119.2</v>
      </c>
    </row>
    <row r="12" spans="1:22" s="148" customFormat="1" outlineLevel="2">
      <c r="A12" s="160"/>
      <c r="B12" s="160"/>
      <c r="C12" s="161"/>
      <c r="D12" s="162"/>
      <c r="E12" s="171" t="str">
        <f xml:space="preserve"> Inputs!E$37</f>
        <v>Consumer Price Index for June</v>
      </c>
      <c r="F12" s="171">
        <f xml:space="preserve"> Inputs!F$37</f>
        <v>0</v>
      </c>
      <c r="G12" s="171" t="str">
        <f xml:space="preserve"> Inputs!G$37</f>
        <v>index</v>
      </c>
      <c r="H12" s="171">
        <f xml:space="preserve"> Inputs!H$37</f>
        <v>0</v>
      </c>
      <c r="I12" s="171">
        <f xml:space="preserve"> Inputs!I$37</f>
        <v>0</v>
      </c>
      <c r="J12" s="171">
        <f xml:space="preserve"> Inputs!J$37</f>
        <v>95.6</v>
      </c>
      <c r="K12" s="171">
        <f xml:space="preserve"> Inputs!K$37</f>
        <v>98</v>
      </c>
      <c r="L12" s="171">
        <f xml:space="preserve"> Inputs!L$37</f>
        <v>99.8</v>
      </c>
      <c r="M12" s="171">
        <f xml:space="preserve"> Inputs!M$37</f>
        <v>100.1</v>
      </c>
      <c r="N12" s="171">
        <f xml:space="preserve"> Inputs!N$37</f>
        <v>101</v>
      </c>
      <c r="O12" s="171">
        <f xml:space="preserve"> Inputs!O$37</f>
        <v>103.5</v>
      </c>
      <c r="P12" s="171">
        <f xml:space="preserve"> Inputs!P$37</f>
        <v>105.9</v>
      </c>
      <c r="Q12" s="171">
        <f xml:space="preserve"> Inputs!Q$37</f>
        <v>108</v>
      </c>
      <c r="R12" s="171">
        <f xml:space="preserve"> Inputs!R$37</f>
        <v>110.2</v>
      </c>
      <c r="S12" s="171">
        <f xml:space="preserve"> Inputs!S$37</f>
        <v>112.4</v>
      </c>
      <c r="T12" s="171">
        <f xml:space="preserve"> Inputs!T$37</f>
        <v>114.6</v>
      </c>
      <c r="U12" s="171">
        <f xml:space="preserve"> Inputs!U$37</f>
        <v>116.9</v>
      </c>
      <c r="V12" s="171">
        <f xml:space="preserve"> Inputs!V$37</f>
        <v>119.2</v>
      </c>
    </row>
    <row r="13" spans="1:22" s="148" customFormat="1" outlineLevel="2">
      <c r="A13" s="160"/>
      <c r="B13" s="160"/>
      <c r="C13" s="161"/>
      <c r="D13" s="162"/>
      <c r="E13" s="171" t="str">
        <f xml:space="preserve"> Inputs!E$38</f>
        <v>Consumer Price Index for July</v>
      </c>
      <c r="F13" s="171">
        <f xml:space="preserve"> Inputs!F$38</f>
        <v>0</v>
      </c>
      <c r="G13" s="171" t="str">
        <f xml:space="preserve"> Inputs!G$38</f>
        <v>index</v>
      </c>
      <c r="H13" s="171">
        <f xml:space="preserve"> Inputs!H$38</f>
        <v>0</v>
      </c>
      <c r="I13" s="171">
        <f xml:space="preserve"> Inputs!I$38</f>
        <v>0</v>
      </c>
      <c r="J13" s="171">
        <f xml:space="preserve"> Inputs!J$38</f>
        <v>95.7</v>
      </c>
      <c r="K13" s="171">
        <f xml:space="preserve"> Inputs!K$38</f>
        <v>98</v>
      </c>
      <c r="L13" s="171">
        <f xml:space="preserve"> Inputs!L$38</f>
        <v>99.6</v>
      </c>
      <c r="M13" s="171">
        <f xml:space="preserve"> Inputs!M$38</f>
        <v>100</v>
      </c>
      <c r="N13" s="171">
        <f xml:space="preserve"> Inputs!N$38</f>
        <v>100.9</v>
      </c>
      <c r="O13" s="171">
        <f xml:space="preserve"> Inputs!O$38</f>
        <v>103.5</v>
      </c>
      <c r="P13" s="171">
        <f xml:space="preserve"> Inputs!P$38</f>
        <v>105.9</v>
      </c>
      <c r="Q13" s="171">
        <f xml:space="preserve"> Inputs!Q$38</f>
        <v>108</v>
      </c>
      <c r="R13" s="171">
        <f xml:space="preserve"> Inputs!R$38</f>
        <v>110.2</v>
      </c>
      <c r="S13" s="171">
        <f xml:space="preserve"> Inputs!S$38</f>
        <v>112.4</v>
      </c>
      <c r="T13" s="171">
        <f xml:space="preserve"> Inputs!T$38</f>
        <v>114.6</v>
      </c>
      <c r="U13" s="171">
        <f xml:space="preserve"> Inputs!U$38</f>
        <v>116.9</v>
      </c>
      <c r="V13" s="171">
        <f xml:space="preserve"> Inputs!V$38</f>
        <v>119.2</v>
      </c>
    </row>
    <row r="14" spans="1:22" s="148" customFormat="1" outlineLevel="2">
      <c r="A14" s="160"/>
      <c r="B14" s="160"/>
      <c r="C14" s="161"/>
      <c r="D14" s="162"/>
      <c r="E14" s="171" t="str">
        <f xml:space="preserve"> Inputs!E$39</f>
        <v>Consumer Price Index for August</v>
      </c>
      <c r="F14" s="171">
        <f xml:space="preserve"> Inputs!F$39</f>
        <v>0</v>
      </c>
      <c r="G14" s="171" t="str">
        <f xml:space="preserve"> Inputs!G$39</f>
        <v>index</v>
      </c>
      <c r="H14" s="171">
        <f xml:space="preserve"> Inputs!H$39</f>
        <v>0</v>
      </c>
      <c r="I14" s="171">
        <f xml:space="preserve"> Inputs!I$39</f>
        <v>0</v>
      </c>
      <c r="J14" s="171">
        <f xml:space="preserve"> Inputs!J$39</f>
        <v>96.1</v>
      </c>
      <c r="K14" s="171">
        <f xml:space="preserve"> Inputs!K$39</f>
        <v>98.4</v>
      </c>
      <c r="L14" s="171">
        <f xml:space="preserve"> Inputs!L$39</f>
        <v>99.9</v>
      </c>
      <c r="M14" s="171">
        <f xml:space="preserve"> Inputs!M$39</f>
        <v>100.3</v>
      </c>
      <c r="N14" s="171">
        <f xml:space="preserve"> Inputs!N$39</f>
        <v>101.2</v>
      </c>
      <c r="O14" s="171">
        <f xml:space="preserve"> Inputs!O$39</f>
        <v>104</v>
      </c>
      <c r="P14" s="171">
        <f xml:space="preserve"> Inputs!P$39</f>
        <v>106.5</v>
      </c>
      <c r="Q14" s="171">
        <f xml:space="preserve"> Inputs!Q$39</f>
        <v>108.6</v>
      </c>
      <c r="R14" s="171">
        <f xml:space="preserve"> Inputs!R$39</f>
        <v>110.8</v>
      </c>
      <c r="S14" s="171">
        <f xml:space="preserve"> Inputs!S$39</f>
        <v>113</v>
      </c>
      <c r="T14" s="171">
        <f xml:space="preserve"> Inputs!T$39</f>
        <v>115.3</v>
      </c>
      <c r="U14" s="171">
        <f xml:space="preserve"> Inputs!U$39</f>
        <v>117.6</v>
      </c>
      <c r="V14" s="171">
        <f xml:space="preserve"> Inputs!V$39</f>
        <v>120</v>
      </c>
    </row>
    <row r="15" spans="1:22" s="148" customFormat="1" outlineLevel="2">
      <c r="A15" s="160"/>
      <c r="B15" s="160"/>
      <c r="C15" s="161"/>
      <c r="D15" s="162"/>
      <c r="E15" s="171" t="str">
        <f xml:space="preserve"> Inputs!E$40</f>
        <v>Consumer Price Index for September</v>
      </c>
      <c r="F15" s="171">
        <f xml:space="preserve"> Inputs!F$40</f>
        <v>0</v>
      </c>
      <c r="G15" s="171" t="str">
        <f xml:space="preserve"> Inputs!G$40</f>
        <v>index</v>
      </c>
      <c r="H15" s="171">
        <f xml:space="preserve"> Inputs!H$40</f>
        <v>0</v>
      </c>
      <c r="I15" s="171">
        <f xml:space="preserve"> Inputs!I$40</f>
        <v>0</v>
      </c>
      <c r="J15" s="171">
        <f xml:space="preserve"> Inputs!J$40</f>
        <v>96.4</v>
      </c>
      <c r="K15" s="171">
        <f xml:space="preserve"> Inputs!K$40</f>
        <v>98.7</v>
      </c>
      <c r="L15" s="171">
        <f xml:space="preserve"> Inputs!L$40</f>
        <v>100</v>
      </c>
      <c r="M15" s="171">
        <f xml:space="preserve"> Inputs!M$40</f>
        <v>100.2</v>
      </c>
      <c r="N15" s="171">
        <f xml:space="preserve"> Inputs!N$40</f>
        <v>101.5</v>
      </c>
      <c r="O15" s="171">
        <f xml:space="preserve"> Inputs!O$40</f>
        <v>104.3</v>
      </c>
      <c r="P15" s="171">
        <f xml:space="preserve"> Inputs!P$40</f>
        <v>106.6</v>
      </c>
      <c r="Q15" s="171">
        <f xml:space="preserve"> Inputs!Q$40</f>
        <v>108.7</v>
      </c>
      <c r="R15" s="171">
        <f xml:space="preserve"> Inputs!R$40</f>
        <v>110.9</v>
      </c>
      <c r="S15" s="171">
        <f xml:space="preserve"> Inputs!S$40</f>
        <v>113.1</v>
      </c>
      <c r="T15" s="171">
        <f xml:space="preserve"> Inputs!T$40</f>
        <v>115.4</v>
      </c>
      <c r="U15" s="171">
        <f xml:space="preserve"> Inputs!U$40</f>
        <v>117.7</v>
      </c>
      <c r="V15" s="171">
        <f xml:space="preserve"> Inputs!V$40</f>
        <v>120.1</v>
      </c>
    </row>
    <row r="16" spans="1:22" s="148" customFormat="1" outlineLevel="2">
      <c r="A16" s="160"/>
      <c r="B16" s="160"/>
      <c r="C16" s="161"/>
      <c r="D16" s="162"/>
      <c r="E16" s="171" t="str">
        <f xml:space="preserve"> Inputs!E$41</f>
        <v>Consumer Price Index for October</v>
      </c>
      <c r="F16" s="171">
        <f xml:space="preserve"> Inputs!F$41</f>
        <v>0</v>
      </c>
      <c r="G16" s="171" t="str">
        <f xml:space="preserve"> Inputs!G$41</f>
        <v>index</v>
      </c>
      <c r="H16" s="171">
        <f xml:space="preserve"> Inputs!H$41</f>
        <v>0</v>
      </c>
      <c r="I16" s="171">
        <f xml:space="preserve"> Inputs!I$41</f>
        <v>0</v>
      </c>
      <c r="J16" s="171">
        <f xml:space="preserve"> Inputs!J$41</f>
        <v>96.8</v>
      </c>
      <c r="K16" s="171">
        <f xml:space="preserve"> Inputs!K$41</f>
        <v>98.8</v>
      </c>
      <c r="L16" s="171">
        <f xml:space="preserve"> Inputs!L$41</f>
        <v>100.1</v>
      </c>
      <c r="M16" s="171">
        <f xml:space="preserve"> Inputs!M$41</f>
        <v>100.3</v>
      </c>
      <c r="N16" s="171">
        <f xml:space="preserve"> Inputs!N$41</f>
        <v>101.6</v>
      </c>
      <c r="O16" s="171">
        <f xml:space="preserve"> Inputs!O$41</f>
        <v>104.4</v>
      </c>
      <c r="P16" s="171">
        <f xml:space="preserve"> Inputs!P$41</f>
        <v>106.7</v>
      </c>
      <c r="Q16" s="171">
        <f xml:space="preserve"> Inputs!Q$41</f>
        <v>108.8</v>
      </c>
      <c r="R16" s="171">
        <f xml:space="preserve"> Inputs!R$41</f>
        <v>111</v>
      </c>
      <c r="S16" s="171">
        <f xml:space="preserve"> Inputs!S$41</f>
        <v>113.2</v>
      </c>
      <c r="T16" s="171">
        <f xml:space="preserve"> Inputs!T$41</f>
        <v>115.5</v>
      </c>
      <c r="U16" s="171">
        <f xml:space="preserve"> Inputs!U$41</f>
        <v>117.8</v>
      </c>
      <c r="V16" s="171">
        <f xml:space="preserve"> Inputs!V$41</f>
        <v>120.2</v>
      </c>
    </row>
    <row r="17" spans="1:22" s="148" customFormat="1" outlineLevel="2">
      <c r="A17" s="160"/>
      <c r="B17" s="160"/>
      <c r="C17" s="161"/>
      <c r="D17" s="162"/>
      <c r="E17" s="171" t="str">
        <f xml:space="preserve"> Inputs!E$42</f>
        <v>Consumer Price Index for November</v>
      </c>
      <c r="F17" s="171">
        <f xml:space="preserve"> Inputs!F$42</f>
        <v>0</v>
      </c>
      <c r="G17" s="171" t="str">
        <f xml:space="preserve"> Inputs!G$42</f>
        <v>index</v>
      </c>
      <c r="H17" s="171">
        <f xml:space="preserve"> Inputs!H$42</f>
        <v>0</v>
      </c>
      <c r="I17" s="171">
        <f xml:space="preserve"> Inputs!I$42</f>
        <v>0</v>
      </c>
      <c r="J17" s="171">
        <f xml:space="preserve"> Inputs!J$42</f>
        <v>97</v>
      </c>
      <c r="K17" s="171">
        <f xml:space="preserve"> Inputs!K$42</f>
        <v>98.8</v>
      </c>
      <c r="L17" s="171">
        <f xml:space="preserve"> Inputs!L$42</f>
        <v>99.9</v>
      </c>
      <c r="M17" s="171">
        <f xml:space="preserve"> Inputs!M$42</f>
        <v>100.3</v>
      </c>
      <c r="N17" s="171">
        <f xml:space="preserve"> Inputs!N$42</f>
        <v>101.8</v>
      </c>
      <c r="O17" s="171">
        <f xml:space="preserve"> Inputs!O$42</f>
        <v>104.7</v>
      </c>
      <c r="P17" s="171">
        <f xml:space="preserve"> Inputs!P$42</f>
        <v>106.9</v>
      </c>
      <c r="Q17" s="171">
        <f xml:space="preserve"> Inputs!Q$42</f>
        <v>109</v>
      </c>
      <c r="R17" s="171">
        <f xml:space="preserve"> Inputs!R$42</f>
        <v>111.2</v>
      </c>
      <c r="S17" s="171">
        <f xml:space="preserve"> Inputs!S$42</f>
        <v>113.4</v>
      </c>
      <c r="T17" s="171">
        <f xml:space="preserve"> Inputs!T$42</f>
        <v>115.7</v>
      </c>
      <c r="U17" s="171">
        <f xml:space="preserve"> Inputs!U$42</f>
        <v>118</v>
      </c>
      <c r="V17" s="171">
        <f xml:space="preserve"> Inputs!V$42</f>
        <v>120.4</v>
      </c>
    </row>
    <row r="18" spans="1:22" s="148" customFormat="1" outlineLevel="2">
      <c r="A18" s="160"/>
      <c r="B18" s="160"/>
      <c r="C18" s="161"/>
      <c r="D18" s="162"/>
      <c r="E18" s="171" t="str">
        <f xml:space="preserve"> Inputs!E$43</f>
        <v>Consumer Price Index for December</v>
      </c>
      <c r="F18" s="171">
        <f xml:space="preserve"> Inputs!F$43</f>
        <v>0</v>
      </c>
      <c r="G18" s="171" t="str">
        <f xml:space="preserve"> Inputs!G$43</f>
        <v>index</v>
      </c>
      <c r="H18" s="171">
        <f xml:space="preserve"> Inputs!H$43</f>
        <v>0</v>
      </c>
      <c r="I18" s="171">
        <f xml:space="preserve"> Inputs!I$43</f>
        <v>0</v>
      </c>
      <c r="J18" s="171">
        <f xml:space="preserve"> Inputs!J$43</f>
        <v>97.3</v>
      </c>
      <c r="K18" s="171">
        <f xml:space="preserve"> Inputs!K$43</f>
        <v>99.2</v>
      </c>
      <c r="L18" s="171">
        <f xml:space="preserve"> Inputs!L$43</f>
        <v>99.9</v>
      </c>
      <c r="M18" s="171">
        <f xml:space="preserve"> Inputs!M$43</f>
        <v>100.4</v>
      </c>
      <c r="N18" s="171">
        <f xml:space="preserve"> Inputs!N$43</f>
        <v>102.2</v>
      </c>
      <c r="O18" s="171">
        <f xml:space="preserve"> Inputs!O$43</f>
        <v>105</v>
      </c>
      <c r="P18" s="171">
        <f xml:space="preserve"> Inputs!P$43</f>
        <v>107.1</v>
      </c>
      <c r="Q18" s="171">
        <f xml:space="preserve"> Inputs!Q$43</f>
        <v>109.2</v>
      </c>
      <c r="R18" s="171">
        <f xml:space="preserve"> Inputs!R$43</f>
        <v>111.4</v>
      </c>
      <c r="S18" s="171">
        <f xml:space="preserve"> Inputs!S$43</f>
        <v>113.6</v>
      </c>
      <c r="T18" s="171">
        <f xml:space="preserve"> Inputs!T$43</f>
        <v>115.9</v>
      </c>
      <c r="U18" s="171">
        <f xml:space="preserve"> Inputs!U$43</f>
        <v>118.2</v>
      </c>
      <c r="V18" s="171">
        <f xml:space="preserve"> Inputs!V$43</f>
        <v>120.6</v>
      </c>
    </row>
    <row r="19" spans="1:22" s="148" customFormat="1" outlineLevel="2">
      <c r="A19" s="160"/>
      <c r="B19" s="160"/>
      <c r="C19" s="161"/>
      <c r="D19" s="162"/>
      <c r="E19" s="171" t="str">
        <f xml:space="preserve"> Inputs!E$44</f>
        <v>Consumer Price Index for January</v>
      </c>
      <c r="F19" s="171">
        <f xml:space="preserve"> Inputs!F$44</f>
        <v>0</v>
      </c>
      <c r="G19" s="171" t="str">
        <f xml:space="preserve"> Inputs!G$44</f>
        <v>index</v>
      </c>
      <c r="H19" s="171">
        <f xml:space="preserve"> Inputs!H$44</f>
        <v>0</v>
      </c>
      <c r="I19" s="171">
        <f xml:space="preserve"> Inputs!I$44</f>
        <v>0</v>
      </c>
      <c r="J19" s="171">
        <f xml:space="preserve"> Inputs!J$44</f>
        <v>97</v>
      </c>
      <c r="K19" s="171">
        <f xml:space="preserve"> Inputs!K$44</f>
        <v>98.7</v>
      </c>
      <c r="L19" s="171">
        <f xml:space="preserve"> Inputs!L$44</f>
        <v>99.2</v>
      </c>
      <c r="M19" s="171">
        <f xml:space="preserve"> Inputs!M$44</f>
        <v>99.9</v>
      </c>
      <c r="N19" s="171">
        <f xml:space="preserve"> Inputs!N$44</f>
        <v>101.8</v>
      </c>
      <c r="O19" s="171">
        <f xml:space="preserve"> Inputs!O$44</f>
        <v>104.5</v>
      </c>
      <c r="P19" s="171">
        <f xml:space="preserve"> Inputs!P$44</f>
        <v>106.4</v>
      </c>
      <c r="Q19" s="171">
        <f xml:space="preserve"> Inputs!Q$44</f>
        <v>108.5</v>
      </c>
      <c r="R19" s="171">
        <f xml:space="preserve"> Inputs!R$44</f>
        <v>110.7</v>
      </c>
      <c r="S19" s="171">
        <f xml:space="preserve"> Inputs!S$44</f>
        <v>112.9</v>
      </c>
      <c r="T19" s="171">
        <f xml:space="preserve"> Inputs!T$44</f>
        <v>115.2</v>
      </c>
      <c r="U19" s="171">
        <f xml:space="preserve"> Inputs!U$44</f>
        <v>117.5</v>
      </c>
      <c r="V19" s="171">
        <f xml:space="preserve"> Inputs!V$44</f>
        <v>119.9</v>
      </c>
    </row>
    <row r="20" spans="1:22" s="148" customFormat="1" outlineLevel="2">
      <c r="A20" s="160"/>
      <c r="B20" s="160"/>
      <c r="C20" s="161"/>
      <c r="D20" s="162"/>
      <c r="E20" s="171" t="str">
        <f xml:space="preserve"> Inputs!E$45</f>
        <v>Consumer Price Index for February</v>
      </c>
      <c r="F20" s="171">
        <f xml:space="preserve"> Inputs!F$45</f>
        <v>0</v>
      </c>
      <c r="G20" s="171" t="str">
        <f xml:space="preserve"> Inputs!G$45</f>
        <v>index</v>
      </c>
      <c r="H20" s="171">
        <f xml:space="preserve"> Inputs!H$45</f>
        <v>0</v>
      </c>
      <c r="I20" s="171">
        <f xml:space="preserve"> Inputs!I$45</f>
        <v>0</v>
      </c>
      <c r="J20" s="171">
        <f xml:space="preserve"> Inputs!J$45</f>
        <v>97.5</v>
      </c>
      <c r="K20" s="171">
        <f xml:space="preserve"> Inputs!K$45</f>
        <v>99.1</v>
      </c>
      <c r="L20" s="171">
        <f xml:space="preserve"> Inputs!L$45</f>
        <v>99.5</v>
      </c>
      <c r="M20" s="171">
        <f xml:space="preserve"> Inputs!M$45</f>
        <v>100.1</v>
      </c>
      <c r="N20" s="171">
        <f xml:space="preserve"> Inputs!N$45</f>
        <v>102.4</v>
      </c>
      <c r="O20" s="171">
        <f xml:space="preserve"> Inputs!O$45</f>
        <v>104.9</v>
      </c>
      <c r="P20" s="171">
        <f xml:space="preserve"> Inputs!P$45</f>
        <v>106.8</v>
      </c>
      <c r="Q20" s="171">
        <f xml:space="preserve"> Inputs!Q$45</f>
        <v>109.1</v>
      </c>
      <c r="R20" s="171">
        <f xml:space="preserve"> Inputs!R$45</f>
        <v>111.3</v>
      </c>
      <c r="S20" s="171">
        <f xml:space="preserve"> Inputs!S$45</f>
        <v>113.5</v>
      </c>
      <c r="T20" s="171">
        <f xml:space="preserve"> Inputs!T$45</f>
        <v>115.8</v>
      </c>
      <c r="U20" s="171">
        <f xml:space="preserve"> Inputs!U$45</f>
        <v>118.1</v>
      </c>
      <c r="V20" s="171">
        <f xml:space="preserve"> Inputs!V$45</f>
        <v>120.5</v>
      </c>
    </row>
    <row r="21" spans="1:22" s="148" customFormat="1" outlineLevel="2">
      <c r="A21" s="160"/>
      <c r="B21" s="160"/>
      <c r="C21" s="161"/>
      <c r="D21" s="162"/>
      <c r="E21" s="171" t="str">
        <f xml:space="preserve"> Inputs!E$46</f>
        <v>Consumer Price Index for March</v>
      </c>
      <c r="F21" s="171">
        <f xml:space="preserve"> Inputs!F$46</f>
        <v>0</v>
      </c>
      <c r="G21" s="171" t="str">
        <f xml:space="preserve"> Inputs!G$46</f>
        <v>index</v>
      </c>
      <c r="H21" s="171">
        <f xml:space="preserve"> Inputs!H$46</f>
        <v>0</v>
      </c>
      <c r="I21" s="171">
        <f xml:space="preserve"> Inputs!I$46</f>
        <v>0</v>
      </c>
      <c r="J21" s="171">
        <f xml:space="preserve"> Inputs!J$46</f>
        <v>97.8</v>
      </c>
      <c r="K21" s="171">
        <f xml:space="preserve"> Inputs!K$46</f>
        <v>99.3</v>
      </c>
      <c r="L21" s="171">
        <f xml:space="preserve"> Inputs!L$46</f>
        <v>99.6</v>
      </c>
      <c r="M21" s="171">
        <f xml:space="preserve"> Inputs!M$46</f>
        <v>100.4</v>
      </c>
      <c r="N21" s="171">
        <f xml:space="preserve"> Inputs!N$46</f>
        <v>102.7</v>
      </c>
      <c r="O21" s="171">
        <f xml:space="preserve"> Inputs!O$46</f>
        <v>105.1</v>
      </c>
      <c r="P21" s="171">
        <f xml:space="preserve"> Inputs!P$46</f>
        <v>107</v>
      </c>
      <c r="Q21" s="171">
        <f xml:space="preserve"> Inputs!Q$46</f>
        <v>109.3</v>
      </c>
      <c r="R21" s="171">
        <f xml:space="preserve"> Inputs!R$46</f>
        <v>111.5</v>
      </c>
      <c r="S21" s="171">
        <f xml:space="preserve"> Inputs!S$46</f>
        <v>113.7</v>
      </c>
      <c r="T21" s="171">
        <f xml:space="preserve"> Inputs!T$46</f>
        <v>116</v>
      </c>
      <c r="U21" s="171">
        <f xml:space="preserve"> Inputs!U$46</f>
        <v>118.3</v>
      </c>
      <c r="V21" s="171">
        <f xml:space="preserve"> Inputs!V$46</f>
        <v>120.7</v>
      </c>
    </row>
    <row r="22" spans="1:22" ht="4.7" customHeight="1" outlineLevel="1"/>
    <row r="23" spans="1:22" s="157" customFormat="1" outlineLevel="1">
      <c r="A23" s="172"/>
      <c r="B23" s="172"/>
      <c r="C23" s="173"/>
      <c r="D23" s="147"/>
      <c r="E23" s="147" t="str">
        <f xml:space="preserve"> Inputs!E$48</f>
        <v>CPIH: Assumed percentage increase for unpopulated monthly values</v>
      </c>
      <c r="F23" s="147">
        <f xml:space="preserve"> Inputs!F$48</f>
        <v>0</v>
      </c>
      <c r="G23" s="147" t="str">
        <f xml:space="preserve"> Inputs!G$48</f>
        <v>%</v>
      </c>
      <c r="H23" s="147">
        <f xml:space="preserve"> Inputs!H$48</f>
        <v>0</v>
      </c>
      <c r="I23" s="147">
        <f xml:space="preserve"> Inputs!I$48</f>
        <v>0</v>
      </c>
      <c r="J23" s="147">
        <f xml:space="preserve"> Inputs!J$48</f>
        <v>0</v>
      </c>
      <c r="K23" s="147">
        <f xml:space="preserve"> Inputs!K$48</f>
        <v>0</v>
      </c>
      <c r="L23" s="147">
        <f xml:space="preserve"> Inputs!L$48</f>
        <v>0</v>
      </c>
      <c r="M23" s="147">
        <f xml:space="preserve"> Inputs!M$48</f>
        <v>0</v>
      </c>
      <c r="N23" s="147">
        <f xml:space="preserve"> Inputs!N$48</f>
        <v>0</v>
      </c>
      <c r="O23" s="147">
        <f xml:space="preserve"> Inputs!O$48</f>
        <v>0</v>
      </c>
      <c r="P23" s="147">
        <f xml:space="preserve"> Inputs!P$48</f>
        <v>0</v>
      </c>
      <c r="Q23" s="147">
        <f xml:space="preserve"> Inputs!Q$48</f>
        <v>0</v>
      </c>
      <c r="R23" s="147">
        <f xml:space="preserve"> Inputs!R$48</f>
        <v>0</v>
      </c>
      <c r="S23" s="147">
        <f xml:space="preserve"> Inputs!S$48</f>
        <v>0</v>
      </c>
      <c r="T23" s="147">
        <f xml:space="preserve"> Inputs!T$48</f>
        <v>0</v>
      </c>
      <c r="U23" s="147">
        <f xml:space="preserve"> Inputs!U$48</f>
        <v>0</v>
      </c>
      <c r="V23" s="147">
        <f xml:space="preserve"> Inputs!V$48</f>
        <v>0</v>
      </c>
    </row>
    <row r="24" spans="1:22" ht="4.7" customHeight="1" outlineLevel="1"/>
    <row r="25" spans="1:22" outlineLevel="1">
      <c r="E25" t="s">
        <v>686</v>
      </c>
      <c r="G25" t="s">
        <v>572</v>
      </c>
      <c r="I25" s="131"/>
      <c r="J25" s="146">
        <f xml:space="preserve"> IF(J10 &gt; 0, J10, I25 * (1 + J$23))</f>
        <v>95.9</v>
      </c>
      <c r="K25" s="146">
        <f t="shared" ref="K25:P25" si="0" xml:space="preserve"> IF(K10 &gt; 0, K10, J25 * (1 + K$23))</f>
        <v>98</v>
      </c>
      <c r="L25" s="146">
        <f t="shared" si="0"/>
        <v>99.6</v>
      </c>
      <c r="M25" s="146">
        <f t="shared" si="0"/>
        <v>99.9</v>
      </c>
      <c r="N25" s="146">
        <f t="shared" si="0"/>
        <v>100.6</v>
      </c>
      <c r="O25" s="146">
        <f t="shared" si="0"/>
        <v>103.2</v>
      </c>
      <c r="P25" s="146">
        <f t="shared" si="0"/>
        <v>105.5</v>
      </c>
      <c r="Q25" s="146">
        <f t="shared" ref="Q25:Q36" si="1" xml:space="preserve"> IF(Q10 &gt; 0, Q10, P25 * (1 + Q$23))</f>
        <v>107.6</v>
      </c>
      <c r="R25" s="146">
        <f t="shared" ref="R25:R36" si="2" xml:space="preserve"> IF(R10 &gt; 0, R10, Q25 * (1 + R$23))</f>
        <v>109.8</v>
      </c>
      <c r="S25" s="146">
        <f t="shared" ref="S25:S36" si="3" xml:space="preserve"> IF(S10 &gt; 0, S10, R25 * (1 + S$23))</f>
        <v>112</v>
      </c>
      <c r="T25" s="146">
        <f t="shared" ref="T25:T36" si="4" xml:space="preserve"> IF(T10 &gt; 0, T10, S25 * (1 + T$23))</f>
        <v>114.2</v>
      </c>
      <c r="U25" s="146">
        <f t="shared" ref="U25:U36" si="5" xml:space="preserve"> IF(U10 &gt; 0, U10, T25 * (1 + U$23))</f>
        <v>116.5</v>
      </c>
      <c r="V25" s="146">
        <f t="shared" ref="V25:V36" si="6" xml:space="preserve"> IF(V10 &gt; 0, V10, U25 * (1 + V$23))</f>
        <v>118.8</v>
      </c>
    </row>
    <row r="26" spans="1:22" outlineLevel="2">
      <c r="E26" t="s">
        <v>687</v>
      </c>
      <c r="G26" t="s">
        <v>572</v>
      </c>
      <c r="I26" s="131"/>
      <c r="J26" s="146">
        <f t="shared" ref="J26:P36" si="7" xml:space="preserve"> IF(J11 &gt; 0, J11, I26 * (1 + J$23))</f>
        <v>95.9</v>
      </c>
      <c r="K26" s="146">
        <f t="shared" si="7"/>
        <v>98.2</v>
      </c>
      <c r="L26" s="146">
        <f t="shared" si="7"/>
        <v>99.6</v>
      </c>
      <c r="M26" s="146">
        <f t="shared" si="7"/>
        <v>100.1</v>
      </c>
      <c r="N26" s="146">
        <f t="shared" si="7"/>
        <v>100.8</v>
      </c>
      <c r="O26" s="146">
        <f t="shared" si="7"/>
        <v>103.5</v>
      </c>
      <c r="P26" s="146">
        <f t="shared" si="7"/>
        <v>105.9</v>
      </c>
      <c r="Q26" s="146">
        <f t="shared" si="1"/>
        <v>107.9</v>
      </c>
      <c r="R26" s="146">
        <f t="shared" si="2"/>
        <v>110.2</v>
      </c>
      <c r="S26" s="146">
        <f t="shared" si="3"/>
        <v>112.4</v>
      </c>
      <c r="T26" s="146">
        <f t="shared" si="4"/>
        <v>114.6</v>
      </c>
      <c r="U26" s="146">
        <f t="shared" si="5"/>
        <v>116.9</v>
      </c>
      <c r="V26" s="146">
        <f t="shared" si="6"/>
        <v>119.2</v>
      </c>
    </row>
    <row r="27" spans="1:22" outlineLevel="2">
      <c r="E27" t="s">
        <v>688</v>
      </c>
      <c r="G27" t="s">
        <v>572</v>
      </c>
      <c r="I27" s="131"/>
      <c r="J27" s="146">
        <f t="shared" si="7"/>
        <v>95.6</v>
      </c>
      <c r="K27" s="146">
        <f t="shared" si="7"/>
        <v>98</v>
      </c>
      <c r="L27" s="146">
        <f t="shared" si="7"/>
        <v>99.8</v>
      </c>
      <c r="M27" s="146">
        <f t="shared" si="7"/>
        <v>100.1</v>
      </c>
      <c r="N27" s="146">
        <f t="shared" si="7"/>
        <v>101</v>
      </c>
      <c r="O27" s="146">
        <f t="shared" si="7"/>
        <v>103.5</v>
      </c>
      <c r="P27" s="146">
        <f t="shared" si="7"/>
        <v>105.9</v>
      </c>
      <c r="Q27" s="146">
        <f t="shared" si="1"/>
        <v>108</v>
      </c>
      <c r="R27" s="146">
        <f t="shared" si="2"/>
        <v>110.2</v>
      </c>
      <c r="S27" s="146">
        <f t="shared" si="3"/>
        <v>112.4</v>
      </c>
      <c r="T27" s="146">
        <f t="shared" si="4"/>
        <v>114.6</v>
      </c>
      <c r="U27" s="146">
        <f t="shared" si="5"/>
        <v>116.9</v>
      </c>
      <c r="V27" s="146">
        <f t="shared" si="6"/>
        <v>119.2</v>
      </c>
    </row>
    <row r="28" spans="1:22" outlineLevel="2">
      <c r="E28" t="s">
        <v>689</v>
      </c>
      <c r="G28" t="s">
        <v>572</v>
      </c>
      <c r="I28" s="131"/>
      <c r="J28" s="146">
        <f t="shared" si="7"/>
        <v>95.7</v>
      </c>
      <c r="K28" s="146">
        <f t="shared" si="7"/>
        <v>98</v>
      </c>
      <c r="L28" s="146">
        <f t="shared" si="7"/>
        <v>99.6</v>
      </c>
      <c r="M28" s="146">
        <f t="shared" si="7"/>
        <v>100</v>
      </c>
      <c r="N28" s="146">
        <f t="shared" si="7"/>
        <v>100.9</v>
      </c>
      <c r="O28" s="146">
        <f t="shared" si="7"/>
        <v>103.5</v>
      </c>
      <c r="P28" s="146">
        <f t="shared" si="7"/>
        <v>105.9</v>
      </c>
      <c r="Q28" s="146">
        <f t="shared" si="1"/>
        <v>108</v>
      </c>
      <c r="R28" s="146">
        <f t="shared" si="2"/>
        <v>110.2</v>
      </c>
      <c r="S28" s="146">
        <f t="shared" si="3"/>
        <v>112.4</v>
      </c>
      <c r="T28" s="146">
        <f t="shared" si="4"/>
        <v>114.6</v>
      </c>
      <c r="U28" s="146">
        <f t="shared" si="5"/>
        <v>116.9</v>
      </c>
      <c r="V28" s="146">
        <f t="shared" si="6"/>
        <v>119.2</v>
      </c>
    </row>
    <row r="29" spans="1:22" outlineLevel="2">
      <c r="E29" t="s">
        <v>690</v>
      </c>
      <c r="G29" t="s">
        <v>572</v>
      </c>
      <c r="I29" s="131"/>
      <c r="J29" s="146">
        <f t="shared" si="7"/>
        <v>96.1</v>
      </c>
      <c r="K29" s="146">
        <f t="shared" si="7"/>
        <v>98.4</v>
      </c>
      <c r="L29" s="146">
        <f t="shared" si="7"/>
        <v>99.9</v>
      </c>
      <c r="M29" s="146">
        <f t="shared" si="7"/>
        <v>100.3</v>
      </c>
      <c r="N29" s="146">
        <f t="shared" si="7"/>
        <v>101.2</v>
      </c>
      <c r="O29" s="146">
        <f t="shared" si="7"/>
        <v>104</v>
      </c>
      <c r="P29" s="146">
        <f t="shared" si="7"/>
        <v>106.5</v>
      </c>
      <c r="Q29" s="146">
        <f t="shared" si="1"/>
        <v>108.6</v>
      </c>
      <c r="R29" s="146">
        <f t="shared" si="2"/>
        <v>110.8</v>
      </c>
      <c r="S29" s="146">
        <f t="shared" si="3"/>
        <v>113</v>
      </c>
      <c r="T29" s="146">
        <f t="shared" si="4"/>
        <v>115.3</v>
      </c>
      <c r="U29" s="146">
        <f t="shared" si="5"/>
        <v>117.6</v>
      </c>
      <c r="V29" s="146">
        <f t="shared" si="6"/>
        <v>120</v>
      </c>
    </row>
    <row r="30" spans="1:22" outlineLevel="2">
      <c r="E30" t="s">
        <v>691</v>
      </c>
      <c r="G30" t="s">
        <v>572</v>
      </c>
      <c r="I30" s="131"/>
      <c r="J30" s="146">
        <f t="shared" si="7"/>
        <v>96.4</v>
      </c>
      <c r="K30" s="146">
        <f t="shared" si="7"/>
        <v>98.7</v>
      </c>
      <c r="L30" s="146">
        <f t="shared" si="7"/>
        <v>100</v>
      </c>
      <c r="M30" s="146">
        <f t="shared" si="7"/>
        <v>100.2</v>
      </c>
      <c r="N30" s="146">
        <f t="shared" si="7"/>
        <v>101.5</v>
      </c>
      <c r="O30" s="146">
        <f t="shared" si="7"/>
        <v>104.3</v>
      </c>
      <c r="P30" s="146">
        <f t="shared" si="7"/>
        <v>106.6</v>
      </c>
      <c r="Q30" s="146">
        <f t="shared" si="1"/>
        <v>108.7</v>
      </c>
      <c r="R30" s="146">
        <f t="shared" si="2"/>
        <v>110.9</v>
      </c>
      <c r="S30" s="146">
        <f t="shared" si="3"/>
        <v>113.1</v>
      </c>
      <c r="T30" s="146">
        <f t="shared" si="4"/>
        <v>115.4</v>
      </c>
      <c r="U30" s="146">
        <f t="shared" si="5"/>
        <v>117.7</v>
      </c>
      <c r="V30" s="146">
        <f t="shared" si="6"/>
        <v>120.1</v>
      </c>
    </row>
    <row r="31" spans="1:22" outlineLevel="2">
      <c r="E31" t="s">
        <v>692</v>
      </c>
      <c r="G31" t="s">
        <v>572</v>
      </c>
      <c r="I31" s="131"/>
      <c r="J31" s="146">
        <f t="shared" si="7"/>
        <v>96.8</v>
      </c>
      <c r="K31" s="146">
        <f t="shared" si="7"/>
        <v>98.8</v>
      </c>
      <c r="L31" s="146">
        <f t="shared" si="7"/>
        <v>100.1</v>
      </c>
      <c r="M31" s="146">
        <f t="shared" si="7"/>
        <v>100.3</v>
      </c>
      <c r="N31" s="146">
        <f t="shared" si="7"/>
        <v>101.6</v>
      </c>
      <c r="O31" s="146">
        <f t="shared" si="7"/>
        <v>104.4</v>
      </c>
      <c r="P31" s="146">
        <f t="shared" si="7"/>
        <v>106.7</v>
      </c>
      <c r="Q31" s="146">
        <f t="shared" si="1"/>
        <v>108.8</v>
      </c>
      <c r="R31" s="146">
        <f t="shared" si="2"/>
        <v>111</v>
      </c>
      <c r="S31" s="146">
        <f t="shared" si="3"/>
        <v>113.2</v>
      </c>
      <c r="T31" s="146">
        <f t="shared" si="4"/>
        <v>115.5</v>
      </c>
      <c r="U31" s="146">
        <f t="shared" si="5"/>
        <v>117.8</v>
      </c>
      <c r="V31" s="146">
        <f t="shared" si="6"/>
        <v>120.2</v>
      </c>
    </row>
    <row r="32" spans="1:22" outlineLevel="2">
      <c r="E32" t="s">
        <v>693</v>
      </c>
      <c r="G32" t="s">
        <v>572</v>
      </c>
      <c r="I32" s="131"/>
      <c r="J32" s="146">
        <f t="shared" si="7"/>
        <v>97</v>
      </c>
      <c r="K32" s="146">
        <f t="shared" si="7"/>
        <v>98.8</v>
      </c>
      <c r="L32" s="146">
        <f t="shared" si="7"/>
        <v>99.9</v>
      </c>
      <c r="M32" s="146">
        <f t="shared" si="7"/>
        <v>100.3</v>
      </c>
      <c r="N32" s="146">
        <f t="shared" si="7"/>
        <v>101.8</v>
      </c>
      <c r="O32" s="146">
        <f t="shared" si="7"/>
        <v>104.7</v>
      </c>
      <c r="P32" s="146">
        <f t="shared" si="7"/>
        <v>106.9</v>
      </c>
      <c r="Q32" s="146">
        <f t="shared" si="1"/>
        <v>109</v>
      </c>
      <c r="R32" s="146">
        <f t="shared" si="2"/>
        <v>111.2</v>
      </c>
      <c r="S32" s="146">
        <f t="shared" si="3"/>
        <v>113.4</v>
      </c>
      <c r="T32" s="146">
        <f t="shared" si="4"/>
        <v>115.7</v>
      </c>
      <c r="U32" s="146">
        <f t="shared" si="5"/>
        <v>118</v>
      </c>
      <c r="V32" s="146">
        <f t="shared" si="6"/>
        <v>120.4</v>
      </c>
    </row>
    <row r="33" spans="1:22" outlineLevel="2">
      <c r="E33" t="s">
        <v>694</v>
      </c>
      <c r="G33" t="s">
        <v>572</v>
      </c>
      <c r="I33" s="131"/>
      <c r="J33" s="146">
        <f t="shared" si="7"/>
        <v>97.3</v>
      </c>
      <c r="K33" s="146">
        <f t="shared" si="7"/>
        <v>99.2</v>
      </c>
      <c r="L33" s="146">
        <f t="shared" si="7"/>
        <v>99.9</v>
      </c>
      <c r="M33" s="146">
        <f t="shared" si="7"/>
        <v>100.4</v>
      </c>
      <c r="N33" s="146">
        <f t="shared" si="7"/>
        <v>102.2</v>
      </c>
      <c r="O33" s="146">
        <f t="shared" si="7"/>
        <v>105</v>
      </c>
      <c r="P33" s="146">
        <f t="shared" si="7"/>
        <v>107.1</v>
      </c>
      <c r="Q33" s="146">
        <f t="shared" si="1"/>
        <v>109.2</v>
      </c>
      <c r="R33" s="146">
        <f t="shared" si="2"/>
        <v>111.4</v>
      </c>
      <c r="S33" s="146">
        <f t="shared" si="3"/>
        <v>113.6</v>
      </c>
      <c r="T33" s="146">
        <f t="shared" si="4"/>
        <v>115.9</v>
      </c>
      <c r="U33" s="146">
        <f t="shared" si="5"/>
        <v>118.2</v>
      </c>
      <c r="V33" s="146">
        <f t="shared" si="6"/>
        <v>120.6</v>
      </c>
    </row>
    <row r="34" spans="1:22" outlineLevel="2">
      <c r="E34" t="s">
        <v>695</v>
      </c>
      <c r="G34" t="s">
        <v>572</v>
      </c>
      <c r="I34" s="131"/>
      <c r="J34" s="146">
        <f t="shared" si="7"/>
        <v>97</v>
      </c>
      <c r="K34" s="146">
        <f t="shared" si="7"/>
        <v>98.7</v>
      </c>
      <c r="L34" s="146">
        <f t="shared" si="7"/>
        <v>99.2</v>
      </c>
      <c r="M34" s="146">
        <f t="shared" si="7"/>
        <v>99.9</v>
      </c>
      <c r="N34" s="146">
        <f t="shared" si="7"/>
        <v>101.8</v>
      </c>
      <c r="O34" s="146">
        <f t="shared" si="7"/>
        <v>104.5</v>
      </c>
      <c r="P34" s="146">
        <f t="shared" si="7"/>
        <v>106.4</v>
      </c>
      <c r="Q34" s="146">
        <f t="shared" si="1"/>
        <v>108.5</v>
      </c>
      <c r="R34" s="146">
        <f t="shared" si="2"/>
        <v>110.7</v>
      </c>
      <c r="S34" s="146">
        <f t="shared" si="3"/>
        <v>112.9</v>
      </c>
      <c r="T34" s="146">
        <f t="shared" si="4"/>
        <v>115.2</v>
      </c>
      <c r="U34" s="146">
        <f t="shared" si="5"/>
        <v>117.5</v>
      </c>
      <c r="V34" s="146">
        <f t="shared" si="6"/>
        <v>119.9</v>
      </c>
    </row>
    <row r="35" spans="1:22" outlineLevel="2">
      <c r="E35" t="s">
        <v>696</v>
      </c>
      <c r="G35" t="s">
        <v>572</v>
      </c>
      <c r="I35" s="131"/>
      <c r="J35" s="146">
        <f t="shared" si="7"/>
        <v>97.5</v>
      </c>
      <c r="K35" s="146">
        <f t="shared" si="7"/>
        <v>99.1</v>
      </c>
      <c r="L35" s="146">
        <f t="shared" si="7"/>
        <v>99.5</v>
      </c>
      <c r="M35" s="146">
        <f t="shared" si="7"/>
        <v>100.1</v>
      </c>
      <c r="N35" s="146">
        <f t="shared" si="7"/>
        <v>102.4</v>
      </c>
      <c r="O35" s="146">
        <f t="shared" si="7"/>
        <v>104.9</v>
      </c>
      <c r="P35" s="146">
        <f t="shared" si="7"/>
        <v>106.8</v>
      </c>
      <c r="Q35" s="146">
        <f t="shared" si="1"/>
        <v>109.1</v>
      </c>
      <c r="R35" s="146">
        <f t="shared" si="2"/>
        <v>111.3</v>
      </c>
      <c r="S35" s="146">
        <f t="shared" si="3"/>
        <v>113.5</v>
      </c>
      <c r="T35" s="146">
        <f t="shared" si="4"/>
        <v>115.8</v>
      </c>
      <c r="U35" s="146">
        <f t="shared" si="5"/>
        <v>118.1</v>
      </c>
      <c r="V35" s="146">
        <f t="shared" si="6"/>
        <v>120.5</v>
      </c>
    </row>
    <row r="36" spans="1:22" outlineLevel="2">
      <c r="E36" t="s">
        <v>697</v>
      </c>
      <c r="G36" t="s">
        <v>572</v>
      </c>
      <c r="I36" s="131"/>
      <c r="J36" s="146">
        <f t="shared" si="7"/>
        <v>97.8</v>
      </c>
      <c r="K36" s="146">
        <f t="shared" si="7"/>
        <v>99.3</v>
      </c>
      <c r="L36" s="146">
        <f t="shared" si="7"/>
        <v>99.6</v>
      </c>
      <c r="M36" s="146">
        <f t="shared" si="7"/>
        <v>100.4</v>
      </c>
      <c r="N36" s="146">
        <f t="shared" si="7"/>
        <v>102.7</v>
      </c>
      <c r="O36" s="146">
        <f t="shared" si="7"/>
        <v>105.1</v>
      </c>
      <c r="P36" s="146">
        <f t="shared" si="7"/>
        <v>107</v>
      </c>
      <c r="Q36" s="146">
        <f t="shared" si="1"/>
        <v>109.3</v>
      </c>
      <c r="R36" s="146">
        <f t="shared" si="2"/>
        <v>111.5</v>
      </c>
      <c r="S36" s="146">
        <f t="shared" si="3"/>
        <v>113.7</v>
      </c>
      <c r="T36" s="146">
        <f t="shared" si="4"/>
        <v>116</v>
      </c>
      <c r="U36" s="146">
        <f t="shared" si="5"/>
        <v>118.3</v>
      </c>
      <c r="V36" s="146">
        <f t="shared" si="6"/>
        <v>120.7</v>
      </c>
    </row>
    <row r="37" spans="1:22" ht="4.7" customHeight="1" outlineLevel="1"/>
    <row r="38" spans="1:22" outlineLevel="1">
      <c r="E38" s="146" t="s">
        <v>698</v>
      </c>
      <c r="F38" s="146"/>
      <c r="G38" s="146" t="s">
        <v>572</v>
      </c>
      <c r="H38" s="146"/>
      <c r="I38" s="146"/>
      <c r="J38" s="146">
        <f t="shared" ref="J38:P38" si="8" xml:space="preserve"> AVERAGE(J25:J36)</f>
        <v>96.583333333333314</v>
      </c>
      <c r="K38" s="146">
        <f t="shared" si="8"/>
        <v>98.600000000000009</v>
      </c>
      <c r="L38" s="146">
        <f t="shared" si="8"/>
        <v>99.72499999999998</v>
      </c>
      <c r="M38" s="146">
        <f t="shared" si="8"/>
        <v>100.16666666666667</v>
      </c>
      <c r="N38" s="146">
        <f t="shared" si="8"/>
        <v>101.54166666666667</v>
      </c>
      <c r="O38" s="146">
        <f t="shared" si="8"/>
        <v>104.21666666666665</v>
      </c>
      <c r="P38" s="146">
        <f t="shared" si="8"/>
        <v>106.43333333333334</v>
      </c>
      <c r="Q38" s="146">
        <f t="shared" ref="Q38:V38" si="9" xml:space="preserve"> AVERAGE(Q25:Q36)</f>
        <v>108.55833333333334</v>
      </c>
      <c r="R38" s="146">
        <f t="shared" si="9"/>
        <v>110.76666666666665</v>
      </c>
      <c r="S38" s="146">
        <f t="shared" si="9"/>
        <v>112.96666666666668</v>
      </c>
      <c r="T38" s="146">
        <f t="shared" si="9"/>
        <v>115.23333333333333</v>
      </c>
      <c r="U38" s="146">
        <f t="shared" si="9"/>
        <v>117.53333333333332</v>
      </c>
      <c r="V38" s="146">
        <f t="shared" si="9"/>
        <v>119.90000000000002</v>
      </c>
    </row>
    <row r="39" spans="1:22" outlineLevel="1">
      <c r="J39" s="171"/>
      <c r="K39" s="171"/>
      <c r="L39" s="171"/>
      <c r="M39" s="171"/>
      <c r="N39" s="171"/>
      <c r="O39" s="171"/>
      <c r="P39" s="171"/>
      <c r="Q39" s="171"/>
      <c r="R39" s="171"/>
      <c r="S39" s="171"/>
      <c r="T39" s="171"/>
      <c r="U39" s="171"/>
      <c r="V39" s="171"/>
    </row>
    <row r="41" spans="1:22" ht="12.75" customHeight="1">
      <c r="A41" s="39" t="s">
        <v>585</v>
      </c>
      <c r="B41" s="39"/>
      <c r="C41" s="40"/>
      <c r="D41" s="39"/>
      <c r="E41" s="39"/>
      <c r="F41" s="39"/>
      <c r="G41" s="39"/>
      <c r="H41" s="39"/>
      <c r="I41" s="39"/>
      <c r="J41" s="39"/>
      <c r="K41" s="39"/>
      <c r="L41" s="39"/>
      <c r="M41" s="39"/>
      <c r="N41" s="39"/>
      <c r="O41" s="39"/>
      <c r="P41" s="39"/>
      <c r="Q41" s="39"/>
      <c r="R41" s="39"/>
      <c r="S41" s="39"/>
      <c r="T41" s="39"/>
      <c r="U41" s="39"/>
      <c r="V41" s="39"/>
    </row>
    <row r="42" spans="1:22" outlineLevel="1"/>
    <row r="43" spans="1:22" outlineLevel="1">
      <c r="B43" s="10" t="s">
        <v>699</v>
      </c>
    </row>
    <row r="44" spans="1:22" s="156" customFormat="1" outlineLevel="1">
      <c r="A44" s="154"/>
      <c r="B44" s="154"/>
      <c r="C44" s="155"/>
      <c r="D44" s="152"/>
      <c r="E44" s="171" t="str">
        <f xml:space="preserve"> Inputs!E$52</f>
        <v>Retail Price Index for April</v>
      </c>
      <c r="F44" s="171">
        <f xml:space="preserve"> Inputs!F$52</f>
        <v>0</v>
      </c>
      <c r="G44" s="171" t="str">
        <f xml:space="preserve"> Inputs!G$52</f>
        <v>index</v>
      </c>
      <c r="H44" s="171">
        <f xml:space="preserve"> Inputs!H$52</f>
        <v>0</v>
      </c>
      <c r="I44" s="171">
        <f xml:space="preserve"> Inputs!I$52</f>
        <v>0</v>
      </c>
      <c r="J44" s="171">
        <f xml:space="preserve"> Inputs!J$52</f>
        <v>242.5</v>
      </c>
      <c r="K44" s="171">
        <f xml:space="preserve"> Inputs!K$52</f>
        <v>249.5</v>
      </c>
      <c r="L44" s="171">
        <f xml:space="preserve"> Inputs!L$52</f>
        <v>255.7</v>
      </c>
      <c r="M44" s="171">
        <f xml:space="preserve"> Inputs!M$52</f>
        <v>258</v>
      </c>
      <c r="N44" s="171">
        <f xml:space="preserve"> Inputs!N$52</f>
        <v>261.39999999999998</v>
      </c>
      <c r="O44" s="171">
        <f xml:space="preserve"> Inputs!O$52</f>
        <v>270.60000000000002</v>
      </c>
      <c r="P44" s="171">
        <f xml:space="preserve"> Inputs!P$52</f>
        <v>279.7</v>
      </c>
      <c r="Q44" s="171">
        <f xml:space="preserve"> Inputs!Q$52</f>
        <v>288.2</v>
      </c>
      <c r="R44" s="171">
        <f xml:space="preserve"> Inputs!R$52</f>
        <v>296.7</v>
      </c>
      <c r="S44" s="171">
        <f xml:space="preserve"> Inputs!S$52</f>
        <v>305.60000000000002</v>
      </c>
      <c r="T44" s="171">
        <f xml:space="preserve"> Inputs!T$52</f>
        <v>314.8</v>
      </c>
      <c r="U44" s="171">
        <f xml:space="preserve"> Inputs!U$52</f>
        <v>324.2</v>
      </c>
      <c r="V44" s="171">
        <f xml:space="preserve"> Inputs!V$52</f>
        <v>333.9</v>
      </c>
    </row>
    <row r="45" spans="1:22" s="156" customFormat="1" outlineLevel="2">
      <c r="A45" s="154"/>
      <c r="B45" s="154"/>
      <c r="C45" s="155"/>
      <c r="D45" s="152"/>
      <c r="E45" s="171" t="str">
        <f xml:space="preserve"> Inputs!E$53</f>
        <v>Retail Price Index for May</v>
      </c>
      <c r="F45" s="171">
        <f xml:space="preserve"> Inputs!F$53</f>
        <v>0</v>
      </c>
      <c r="G45" s="171" t="str">
        <f xml:space="preserve"> Inputs!G$53</f>
        <v>index</v>
      </c>
      <c r="H45" s="171">
        <f xml:space="preserve"> Inputs!H$53</f>
        <v>0</v>
      </c>
      <c r="I45" s="171">
        <f xml:space="preserve"> Inputs!I$53</f>
        <v>0</v>
      </c>
      <c r="J45" s="171">
        <f xml:space="preserve"> Inputs!J$53</f>
        <v>242.4</v>
      </c>
      <c r="K45" s="171">
        <f xml:space="preserve"> Inputs!K$53</f>
        <v>250</v>
      </c>
      <c r="L45" s="171">
        <f xml:space="preserve"> Inputs!L$53</f>
        <v>255.9</v>
      </c>
      <c r="M45" s="171">
        <f xml:space="preserve"> Inputs!M$53</f>
        <v>258.5</v>
      </c>
      <c r="N45" s="171">
        <f xml:space="preserve"> Inputs!N$53</f>
        <v>262.10000000000002</v>
      </c>
      <c r="O45" s="171">
        <f xml:space="preserve"> Inputs!O$53</f>
        <v>271.7</v>
      </c>
      <c r="P45" s="171">
        <f xml:space="preserve"> Inputs!P$53</f>
        <v>280.7</v>
      </c>
      <c r="Q45" s="171">
        <f xml:space="preserve"> Inputs!Q$53</f>
        <v>289.2</v>
      </c>
      <c r="R45" s="171">
        <f xml:space="preserve"> Inputs!R$53</f>
        <v>297.8</v>
      </c>
      <c r="S45" s="171">
        <f xml:space="preserve"> Inputs!S$53</f>
        <v>306.7</v>
      </c>
      <c r="T45" s="171">
        <f xml:space="preserve"> Inputs!T$53</f>
        <v>315.89999999999998</v>
      </c>
      <c r="U45" s="171">
        <f xml:space="preserve"> Inputs!U$53</f>
        <v>325.39999999999998</v>
      </c>
      <c r="V45" s="171">
        <f xml:space="preserve"> Inputs!V$53</f>
        <v>335.2</v>
      </c>
    </row>
    <row r="46" spans="1:22" s="156" customFormat="1" outlineLevel="2">
      <c r="A46" s="154"/>
      <c r="B46" s="154"/>
      <c r="C46" s="155"/>
      <c r="D46" s="152"/>
      <c r="E46" s="171" t="str">
        <f xml:space="preserve"> Inputs!E$54</f>
        <v>Retail Price Index for June</v>
      </c>
      <c r="F46" s="171">
        <f xml:space="preserve"> Inputs!F$54</f>
        <v>0</v>
      </c>
      <c r="G46" s="171" t="str">
        <f xml:space="preserve"> Inputs!G$54</f>
        <v>index</v>
      </c>
      <c r="H46" s="171">
        <f xml:space="preserve"> Inputs!H$54</f>
        <v>0</v>
      </c>
      <c r="I46" s="171">
        <f xml:space="preserve"> Inputs!I$54</f>
        <v>0</v>
      </c>
      <c r="J46" s="171">
        <f xml:space="preserve"> Inputs!J$54</f>
        <v>241.8</v>
      </c>
      <c r="K46" s="171">
        <f xml:space="preserve"> Inputs!K$54</f>
        <v>249.7</v>
      </c>
      <c r="L46" s="171">
        <f xml:space="preserve"> Inputs!L$54</f>
        <v>256.3</v>
      </c>
      <c r="M46" s="171">
        <f xml:space="preserve"> Inputs!M$54</f>
        <v>258.89999999999998</v>
      </c>
      <c r="N46" s="171">
        <f xml:space="preserve"> Inputs!N$54</f>
        <v>263.10000000000002</v>
      </c>
      <c r="O46" s="171">
        <f xml:space="preserve"> Inputs!O$54</f>
        <v>272.3</v>
      </c>
      <c r="P46" s="171">
        <f xml:space="preserve"> Inputs!P$54</f>
        <v>281.5</v>
      </c>
      <c r="Q46" s="171">
        <f xml:space="preserve"> Inputs!Q$54</f>
        <v>289.89999999999998</v>
      </c>
      <c r="R46" s="171">
        <f xml:space="preserve"> Inputs!R$54</f>
        <v>298.60000000000002</v>
      </c>
      <c r="S46" s="171">
        <f xml:space="preserve"> Inputs!S$54</f>
        <v>307.60000000000002</v>
      </c>
      <c r="T46" s="171">
        <f xml:space="preserve"> Inputs!T$54</f>
        <v>316.8</v>
      </c>
      <c r="U46" s="171">
        <f xml:space="preserve"> Inputs!U$54</f>
        <v>326.3</v>
      </c>
      <c r="V46" s="171">
        <f xml:space="preserve"> Inputs!V$54</f>
        <v>336.1</v>
      </c>
    </row>
    <row r="47" spans="1:22" s="156" customFormat="1" outlineLevel="2">
      <c r="A47" s="154"/>
      <c r="B47" s="154"/>
      <c r="C47" s="155"/>
      <c r="D47" s="152"/>
      <c r="E47" s="171" t="str">
        <f xml:space="preserve"> Inputs!E$55</f>
        <v>Retail Price Index for July</v>
      </c>
      <c r="F47" s="171">
        <f xml:space="preserve"> Inputs!F$55</f>
        <v>0</v>
      </c>
      <c r="G47" s="171" t="str">
        <f xml:space="preserve"> Inputs!G$55</f>
        <v>index</v>
      </c>
      <c r="H47" s="171">
        <f xml:space="preserve"> Inputs!H$55</f>
        <v>0</v>
      </c>
      <c r="I47" s="171">
        <f xml:space="preserve"> Inputs!I$55</f>
        <v>0</v>
      </c>
      <c r="J47" s="171">
        <f xml:space="preserve"> Inputs!J$55</f>
        <v>242.1</v>
      </c>
      <c r="K47" s="171">
        <f xml:space="preserve"> Inputs!K$55</f>
        <v>249.7</v>
      </c>
      <c r="L47" s="171">
        <f xml:space="preserve"> Inputs!L$55</f>
        <v>256</v>
      </c>
      <c r="M47" s="171">
        <f xml:space="preserve"> Inputs!M$55</f>
        <v>258.60000000000002</v>
      </c>
      <c r="N47" s="171">
        <f xml:space="preserve"> Inputs!N$55</f>
        <v>263.39999999999998</v>
      </c>
      <c r="O47" s="171">
        <f xml:space="preserve"> Inputs!O$55</f>
        <v>272.89999999999998</v>
      </c>
      <c r="P47" s="171">
        <f xml:space="preserve"> Inputs!P$55</f>
        <v>281.7</v>
      </c>
      <c r="Q47" s="171">
        <f xml:space="preserve"> Inputs!Q$55</f>
        <v>290.2</v>
      </c>
      <c r="R47" s="171">
        <f xml:space="preserve"> Inputs!R$55</f>
        <v>298.89999999999998</v>
      </c>
      <c r="S47" s="171">
        <f xml:space="preserve"> Inputs!S$55</f>
        <v>307.89999999999998</v>
      </c>
      <c r="T47" s="171">
        <f xml:space="preserve"> Inputs!T$55</f>
        <v>317.10000000000002</v>
      </c>
      <c r="U47" s="171">
        <f xml:space="preserve"> Inputs!U$55</f>
        <v>326.60000000000002</v>
      </c>
      <c r="V47" s="171">
        <f xml:space="preserve"> Inputs!V$55</f>
        <v>336.4</v>
      </c>
    </row>
    <row r="48" spans="1:22" s="156" customFormat="1" outlineLevel="2">
      <c r="A48" s="154"/>
      <c r="B48" s="154"/>
      <c r="C48" s="155"/>
      <c r="D48" s="152"/>
      <c r="E48" s="171" t="str">
        <f xml:space="preserve"> Inputs!E$56</f>
        <v>Retail Price Index for August</v>
      </c>
      <c r="F48" s="171">
        <f xml:space="preserve"> Inputs!F$56</f>
        <v>0</v>
      </c>
      <c r="G48" s="171" t="str">
        <f xml:space="preserve"> Inputs!G$56</f>
        <v>index</v>
      </c>
      <c r="H48" s="171">
        <f xml:space="preserve"> Inputs!H$56</f>
        <v>0</v>
      </c>
      <c r="I48" s="171">
        <f xml:space="preserve"> Inputs!I$56</f>
        <v>0</v>
      </c>
      <c r="J48" s="171">
        <f xml:space="preserve"> Inputs!J$56</f>
        <v>243</v>
      </c>
      <c r="K48" s="171">
        <f xml:space="preserve"> Inputs!K$56</f>
        <v>251</v>
      </c>
      <c r="L48" s="171">
        <f xml:space="preserve"> Inputs!L$56</f>
        <v>257</v>
      </c>
      <c r="M48" s="171">
        <f xml:space="preserve"> Inputs!M$56</f>
        <v>259.8</v>
      </c>
      <c r="N48" s="171">
        <f xml:space="preserve"> Inputs!N$56</f>
        <v>264.39999999999998</v>
      </c>
      <c r="O48" s="171">
        <f xml:space="preserve"> Inputs!O$56</f>
        <v>274.7</v>
      </c>
      <c r="P48" s="171">
        <f xml:space="preserve"> Inputs!P$56</f>
        <v>284.2</v>
      </c>
      <c r="Q48" s="171">
        <f xml:space="preserve"> Inputs!Q$56</f>
        <v>292.7</v>
      </c>
      <c r="R48" s="171">
        <f xml:space="preserve"> Inputs!R$56</f>
        <v>301.5</v>
      </c>
      <c r="S48" s="171">
        <f xml:space="preserve"> Inputs!S$56</f>
        <v>310.5</v>
      </c>
      <c r="T48" s="171">
        <f xml:space="preserve"> Inputs!T$56</f>
        <v>319.8</v>
      </c>
      <c r="U48" s="171">
        <f xml:space="preserve"> Inputs!U$56</f>
        <v>329.4</v>
      </c>
      <c r="V48" s="171">
        <f xml:space="preserve"> Inputs!V$56</f>
        <v>339.3</v>
      </c>
    </row>
    <row r="49" spans="1:22" s="156" customFormat="1" outlineLevel="2">
      <c r="A49" s="154"/>
      <c r="B49" s="154"/>
      <c r="C49" s="155"/>
      <c r="D49" s="152"/>
      <c r="E49" s="171" t="str">
        <f xml:space="preserve"> Inputs!E$57</f>
        <v>Retail Price Index for September</v>
      </c>
      <c r="F49" s="171">
        <f xml:space="preserve"> Inputs!F$57</f>
        <v>0</v>
      </c>
      <c r="G49" s="171" t="str">
        <f xml:space="preserve"> Inputs!G$57</f>
        <v>index</v>
      </c>
      <c r="H49" s="171">
        <f xml:space="preserve"> Inputs!H$57</f>
        <v>0</v>
      </c>
      <c r="I49" s="171">
        <f xml:space="preserve"> Inputs!I$57</f>
        <v>0</v>
      </c>
      <c r="J49" s="171">
        <f xml:space="preserve"> Inputs!J$57</f>
        <v>244.2</v>
      </c>
      <c r="K49" s="171">
        <f xml:space="preserve"> Inputs!K$57</f>
        <v>251.9</v>
      </c>
      <c r="L49" s="171">
        <f xml:space="preserve"> Inputs!L$57</f>
        <v>257.60000000000002</v>
      </c>
      <c r="M49" s="171">
        <f xml:space="preserve"> Inputs!M$57</f>
        <v>259.60000000000002</v>
      </c>
      <c r="N49" s="171">
        <f xml:space="preserve"> Inputs!N$57</f>
        <v>264.89999999999998</v>
      </c>
      <c r="O49" s="171">
        <f xml:space="preserve"> Inputs!O$57</f>
        <v>275.10000000000002</v>
      </c>
      <c r="P49" s="171">
        <f xml:space="preserve"> Inputs!P$57</f>
        <v>284.10000000000002</v>
      </c>
      <c r="Q49" s="171">
        <f xml:space="preserve"> Inputs!Q$57</f>
        <v>292.60000000000002</v>
      </c>
      <c r="R49" s="171">
        <f xml:space="preserve"> Inputs!R$57</f>
        <v>301.39999999999998</v>
      </c>
      <c r="S49" s="171">
        <f xml:space="preserve"> Inputs!S$57</f>
        <v>310.39999999999998</v>
      </c>
      <c r="T49" s="171">
        <f xml:space="preserve"> Inputs!T$57</f>
        <v>319.7</v>
      </c>
      <c r="U49" s="171">
        <f xml:space="preserve"> Inputs!U$57</f>
        <v>329.3</v>
      </c>
      <c r="V49" s="171">
        <f xml:space="preserve"> Inputs!V$57</f>
        <v>339.2</v>
      </c>
    </row>
    <row r="50" spans="1:22" s="156" customFormat="1" outlineLevel="2">
      <c r="A50" s="154"/>
      <c r="B50" s="154"/>
      <c r="C50" s="155"/>
      <c r="D50" s="152"/>
      <c r="E50" s="171" t="str">
        <f xml:space="preserve"> Inputs!E$58</f>
        <v>Retail Price Index for October</v>
      </c>
      <c r="F50" s="171">
        <f xml:space="preserve"> Inputs!F$58</f>
        <v>0</v>
      </c>
      <c r="G50" s="171" t="str">
        <f xml:space="preserve"> Inputs!G$58</f>
        <v>index</v>
      </c>
      <c r="H50" s="171">
        <f xml:space="preserve"> Inputs!H$58</f>
        <v>0</v>
      </c>
      <c r="I50" s="171">
        <f xml:space="preserve"> Inputs!I$58</f>
        <v>0</v>
      </c>
      <c r="J50" s="171">
        <f xml:space="preserve"> Inputs!J$58</f>
        <v>245.6</v>
      </c>
      <c r="K50" s="171">
        <f xml:space="preserve"> Inputs!K$58</f>
        <v>251.9</v>
      </c>
      <c r="L50" s="171">
        <f xml:space="preserve"> Inputs!L$58</f>
        <v>257.7</v>
      </c>
      <c r="M50" s="171">
        <f xml:space="preserve"> Inputs!M$58</f>
        <v>259.5</v>
      </c>
      <c r="N50" s="171">
        <f xml:space="preserve"> Inputs!N$58</f>
        <v>264.8</v>
      </c>
      <c r="O50" s="171">
        <f xml:space="preserve"> Inputs!O$58</f>
        <v>275.3</v>
      </c>
      <c r="P50" s="171">
        <f xml:space="preserve"> Inputs!P$58</f>
        <v>284.5</v>
      </c>
      <c r="Q50" s="171">
        <f xml:space="preserve"> Inputs!Q$58</f>
        <v>293</v>
      </c>
      <c r="R50" s="171">
        <f xml:space="preserve"> Inputs!R$58</f>
        <v>301.8</v>
      </c>
      <c r="S50" s="171">
        <f xml:space="preserve"> Inputs!S$58</f>
        <v>310.89999999999998</v>
      </c>
      <c r="T50" s="171">
        <f xml:space="preserve"> Inputs!T$58</f>
        <v>320.2</v>
      </c>
      <c r="U50" s="171">
        <f xml:space="preserve"> Inputs!U$58</f>
        <v>329.8</v>
      </c>
      <c r="V50" s="171">
        <f xml:space="preserve"> Inputs!V$58</f>
        <v>339.7</v>
      </c>
    </row>
    <row r="51" spans="1:22" s="156" customFormat="1" outlineLevel="2">
      <c r="A51" s="154"/>
      <c r="B51" s="154"/>
      <c r="C51" s="155"/>
      <c r="D51" s="152"/>
      <c r="E51" s="171" t="str">
        <f xml:space="preserve"> Inputs!E$59</f>
        <v>Retail Price Index for November</v>
      </c>
      <c r="F51" s="171">
        <f xml:space="preserve"> Inputs!F$59</f>
        <v>0</v>
      </c>
      <c r="G51" s="171" t="str">
        <f xml:space="preserve"> Inputs!G$59</f>
        <v>index</v>
      </c>
      <c r="H51" s="171">
        <f xml:space="preserve"> Inputs!H$59</f>
        <v>0</v>
      </c>
      <c r="I51" s="171">
        <f xml:space="preserve"> Inputs!I$59</f>
        <v>0</v>
      </c>
      <c r="J51" s="171">
        <f xml:space="preserve"> Inputs!J$59</f>
        <v>245.6</v>
      </c>
      <c r="K51" s="171">
        <f xml:space="preserve"> Inputs!K$59</f>
        <v>252.1</v>
      </c>
      <c r="L51" s="171">
        <f xml:space="preserve"> Inputs!L$59</f>
        <v>257.10000000000002</v>
      </c>
      <c r="M51" s="171">
        <f xml:space="preserve"> Inputs!M$59</f>
        <v>259.8</v>
      </c>
      <c r="N51" s="171">
        <f xml:space="preserve"> Inputs!N$59</f>
        <v>265.5</v>
      </c>
      <c r="O51" s="171">
        <f xml:space="preserve"> Inputs!O$59</f>
        <v>275.8</v>
      </c>
      <c r="P51" s="171">
        <f xml:space="preserve"> Inputs!P$59</f>
        <v>284.60000000000002</v>
      </c>
      <c r="Q51" s="171">
        <f xml:space="preserve"> Inputs!Q$59</f>
        <v>293.10000000000002</v>
      </c>
      <c r="R51" s="171">
        <f xml:space="preserve"> Inputs!R$59</f>
        <v>301.89999999999998</v>
      </c>
      <c r="S51" s="171">
        <f xml:space="preserve"> Inputs!S$59</f>
        <v>311</v>
      </c>
      <c r="T51" s="171">
        <f xml:space="preserve"> Inputs!T$59</f>
        <v>320.3</v>
      </c>
      <c r="U51" s="171">
        <f xml:space="preserve"> Inputs!U$59</f>
        <v>329.9</v>
      </c>
      <c r="V51" s="171">
        <f xml:space="preserve"> Inputs!V$59</f>
        <v>339.8</v>
      </c>
    </row>
    <row r="52" spans="1:22" s="156" customFormat="1" outlineLevel="2">
      <c r="A52" s="154"/>
      <c r="B52" s="154"/>
      <c r="C52" s="155"/>
      <c r="D52" s="152"/>
      <c r="E52" s="171" t="str">
        <f xml:space="preserve"> Inputs!E$60</f>
        <v>Retail Price Index for December</v>
      </c>
      <c r="F52" s="171">
        <f xml:space="preserve"> Inputs!F$60</f>
        <v>0</v>
      </c>
      <c r="G52" s="171" t="str">
        <f xml:space="preserve"> Inputs!G$60</f>
        <v>index</v>
      </c>
      <c r="H52" s="171">
        <f xml:space="preserve"> Inputs!H$60</f>
        <v>0</v>
      </c>
      <c r="I52" s="171">
        <f xml:space="preserve"> Inputs!I$60</f>
        <v>0</v>
      </c>
      <c r="J52" s="171">
        <f xml:space="preserve"> Inputs!J$60</f>
        <v>246.8</v>
      </c>
      <c r="K52" s="171">
        <f xml:space="preserve"> Inputs!K$60</f>
        <v>253.4</v>
      </c>
      <c r="L52" s="171">
        <f xml:space="preserve"> Inputs!L$60</f>
        <v>257.5</v>
      </c>
      <c r="M52" s="171">
        <f xml:space="preserve"> Inputs!M$60</f>
        <v>260.60000000000002</v>
      </c>
      <c r="N52" s="171">
        <f xml:space="preserve"> Inputs!N$60</f>
        <v>267.10000000000002</v>
      </c>
      <c r="O52" s="171">
        <f xml:space="preserve"> Inputs!O$60</f>
        <v>278.10000000000002</v>
      </c>
      <c r="P52" s="171">
        <f xml:space="preserve"> Inputs!P$60</f>
        <v>285.60000000000002</v>
      </c>
      <c r="Q52" s="171">
        <f xml:space="preserve"> Inputs!Q$60</f>
        <v>294.2</v>
      </c>
      <c r="R52" s="171">
        <f xml:space="preserve"> Inputs!R$60</f>
        <v>303</v>
      </c>
      <c r="S52" s="171">
        <f xml:space="preserve"> Inputs!S$60</f>
        <v>312.10000000000002</v>
      </c>
      <c r="T52" s="171">
        <f xml:space="preserve"> Inputs!T$60</f>
        <v>321.5</v>
      </c>
      <c r="U52" s="171">
        <f xml:space="preserve"> Inputs!U$60</f>
        <v>331.1</v>
      </c>
      <c r="V52" s="171">
        <f xml:space="preserve"> Inputs!V$60</f>
        <v>341</v>
      </c>
    </row>
    <row r="53" spans="1:22" s="156" customFormat="1" outlineLevel="2">
      <c r="A53" s="154"/>
      <c r="B53" s="154"/>
      <c r="C53" s="155"/>
      <c r="D53" s="152"/>
      <c r="E53" s="171" t="str">
        <f xml:space="preserve"> Inputs!E$61</f>
        <v>Retail Price Index for January</v>
      </c>
      <c r="F53" s="171">
        <f xml:space="preserve"> Inputs!F$61</f>
        <v>0</v>
      </c>
      <c r="G53" s="171" t="str">
        <f xml:space="preserve"> Inputs!G$61</f>
        <v>index</v>
      </c>
      <c r="H53" s="171">
        <f xml:space="preserve"> Inputs!H$61</f>
        <v>0</v>
      </c>
      <c r="I53" s="171">
        <f xml:space="preserve"> Inputs!I$61</f>
        <v>0</v>
      </c>
      <c r="J53" s="171">
        <f xml:space="preserve"> Inputs!J$61</f>
        <v>245.8</v>
      </c>
      <c r="K53" s="171">
        <f xml:space="preserve"> Inputs!K$61</f>
        <v>252.6</v>
      </c>
      <c r="L53" s="171">
        <f xml:space="preserve"> Inputs!L$61</f>
        <v>255.4</v>
      </c>
      <c r="M53" s="171">
        <f xml:space="preserve"> Inputs!M$61</f>
        <v>258.8</v>
      </c>
      <c r="N53" s="171">
        <f xml:space="preserve"> Inputs!N$61</f>
        <v>265.5</v>
      </c>
      <c r="O53" s="171">
        <f xml:space="preserve"> Inputs!O$61</f>
        <v>276</v>
      </c>
      <c r="P53" s="171">
        <f xml:space="preserve"> Inputs!P$61</f>
        <v>283</v>
      </c>
      <c r="Q53" s="171">
        <f xml:space="preserve"> Inputs!Q$61</f>
        <v>291.5</v>
      </c>
      <c r="R53" s="171">
        <f xml:space="preserve"> Inputs!R$61</f>
        <v>300.2</v>
      </c>
      <c r="S53" s="171">
        <f xml:space="preserve"> Inputs!S$61</f>
        <v>309.2</v>
      </c>
      <c r="T53" s="171">
        <f xml:space="preserve"> Inputs!T$61</f>
        <v>318.5</v>
      </c>
      <c r="U53" s="171">
        <f xml:space="preserve"> Inputs!U$61</f>
        <v>328.1</v>
      </c>
      <c r="V53" s="171">
        <f xml:space="preserve"> Inputs!V$61</f>
        <v>337.9</v>
      </c>
    </row>
    <row r="54" spans="1:22" s="156" customFormat="1" outlineLevel="2">
      <c r="A54" s="154"/>
      <c r="B54" s="154"/>
      <c r="C54" s="155"/>
      <c r="D54" s="152"/>
      <c r="E54" s="171" t="str">
        <f xml:space="preserve"> Inputs!E$62</f>
        <v>Retail Price Index for February</v>
      </c>
      <c r="F54" s="171">
        <f xml:space="preserve"> Inputs!F$62</f>
        <v>0</v>
      </c>
      <c r="G54" s="171" t="str">
        <f xml:space="preserve"> Inputs!G$62</f>
        <v>index</v>
      </c>
      <c r="H54" s="171">
        <f xml:space="preserve"> Inputs!H$62</f>
        <v>0</v>
      </c>
      <c r="I54" s="171">
        <f xml:space="preserve"> Inputs!I$62</f>
        <v>0</v>
      </c>
      <c r="J54" s="171">
        <f xml:space="preserve"> Inputs!J$62</f>
        <v>247.6</v>
      </c>
      <c r="K54" s="171">
        <f xml:space="preserve"> Inputs!K$62</f>
        <v>254.2</v>
      </c>
      <c r="L54" s="171">
        <f xml:space="preserve"> Inputs!L$62</f>
        <v>256.7</v>
      </c>
      <c r="M54" s="171">
        <f xml:space="preserve"> Inputs!M$62</f>
        <v>260</v>
      </c>
      <c r="N54" s="171">
        <f xml:space="preserve"> Inputs!N$62</f>
        <v>268.39999999999998</v>
      </c>
      <c r="O54" s="171">
        <f xml:space="preserve"> Inputs!O$62</f>
        <v>278.10000000000002</v>
      </c>
      <c r="P54" s="171">
        <f xml:space="preserve"> Inputs!P$62</f>
        <v>285</v>
      </c>
      <c r="Q54" s="171">
        <f xml:space="preserve"> Inputs!Q$62</f>
        <v>295</v>
      </c>
      <c r="R54" s="171">
        <f xml:space="preserve"> Inputs!R$62</f>
        <v>303.89999999999998</v>
      </c>
      <c r="S54" s="171">
        <f xml:space="preserve"> Inputs!S$62</f>
        <v>313</v>
      </c>
      <c r="T54" s="171">
        <f xml:space="preserve"> Inputs!T$62</f>
        <v>322.39999999999998</v>
      </c>
      <c r="U54" s="171">
        <f xml:space="preserve"> Inputs!U$62</f>
        <v>332.1</v>
      </c>
      <c r="V54" s="171">
        <f xml:space="preserve"> Inputs!V$62</f>
        <v>342.1</v>
      </c>
    </row>
    <row r="55" spans="1:22" s="156" customFormat="1" outlineLevel="2">
      <c r="A55" s="154"/>
      <c r="B55" s="154"/>
      <c r="C55" s="155"/>
      <c r="D55" s="152"/>
      <c r="E55" s="171" t="str">
        <f xml:space="preserve"> Inputs!E$63</f>
        <v>Retail Price Index for March</v>
      </c>
      <c r="F55" s="171">
        <f xml:space="preserve"> Inputs!F$63</f>
        <v>0</v>
      </c>
      <c r="G55" s="171" t="str">
        <f xml:space="preserve"> Inputs!G$63</f>
        <v>index</v>
      </c>
      <c r="H55" s="171">
        <f xml:space="preserve"> Inputs!H$63</f>
        <v>0</v>
      </c>
      <c r="I55" s="171">
        <f xml:space="preserve"> Inputs!I$63</f>
        <v>0</v>
      </c>
      <c r="J55" s="171">
        <f xml:space="preserve"> Inputs!J$63</f>
        <v>248.7</v>
      </c>
      <c r="K55" s="171">
        <f xml:space="preserve"> Inputs!K$63</f>
        <v>254.8</v>
      </c>
      <c r="L55" s="171">
        <f xml:space="preserve"> Inputs!L$63</f>
        <v>257.10000000000002</v>
      </c>
      <c r="M55" s="171">
        <f xml:space="preserve"> Inputs!M$63</f>
        <v>261.10000000000002</v>
      </c>
      <c r="N55" s="171">
        <f xml:space="preserve"> Inputs!N$63</f>
        <v>269.3</v>
      </c>
      <c r="O55" s="171">
        <f xml:space="preserve"> Inputs!O$63</f>
        <v>278.3</v>
      </c>
      <c r="P55" s="171">
        <f xml:space="preserve"> Inputs!P$63</f>
        <v>285.10000000000002</v>
      </c>
      <c r="Q55" s="171">
        <f xml:space="preserve"> Inputs!Q$63</f>
        <v>295.2</v>
      </c>
      <c r="R55" s="171">
        <f xml:space="preserve"> Inputs!R$63</f>
        <v>304.10000000000002</v>
      </c>
      <c r="S55" s="171">
        <f xml:space="preserve"> Inputs!S$63</f>
        <v>313.2</v>
      </c>
      <c r="T55" s="171">
        <f xml:space="preserve"> Inputs!T$63</f>
        <v>322.60000000000002</v>
      </c>
      <c r="U55" s="171">
        <f xml:space="preserve"> Inputs!U$63</f>
        <v>332.3</v>
      </c>
      <c r="V55" s="171">
        <f xml:space="preserve"> Inputs!V$63</f>
        <v>342.3</v>
      </c>
    </row>
    <row r="56" spans="1:22" ht="4.7" customHeight="1" outlineLevel="1"/>
    <row r="57" spans="1:22" s="148" customFormat="1" outlineLevel="1">
      <c r="A57" s="160"/>
      <c r="B57" s="160"/>
      <c r="C57" s="161"/>
      <c r="D57" s="162"/>
      <c r="E57" s="147" t="str">
        <f xml:space="preserve"> Inputs!E$65</f>
        <v>RPI: Assumed percentage increase for unpopulated monthly values</v>
      </c>
      <c r="F57" s="147">
        <f xml:space="preserve"> Inputs!F$65</f>
        <v>0</v>
      </c>
      <c r="G57" s="147" t="str">
        <f xml:space="preserve"> Inputs!G$65</f>
        <v>%</v>
      </c>
      <c r="H57" s="147">
        <f xml:space="preserve"> Inputs!H$65</f>
        <v>0</v>
      </c>
      <c r="I57" s="147">
        <f xml:space="preserve"> Inputs!I$65</f>
        <v>0</v>
      </c>
      <c r="J57" s="147">
        <f xml:space="preserve"> Inputs!J$65</f>
        <v>0</v>
      </c>
      <c r="K57" s="147">
        <f xml:space="preserve"> Inputs!K$65</f>
        <v>0</v>
      </c>
      <c r="L57" s="147">
        <f xml:space="preserve"> Inputs!L$65</f>
        <v>0</v>
      </c>
      <c r="M57" s="147">
        <f xml:space="preserve"> Inputs!M$65</f>
        <v>0</v>
      </c>
      <c r="N57" s="147">
        <f xml:space="preserve"> Inputs!N$65</f>
        <v>0</v>
      </c>
      <c r="O57" s="147">
        <f xml:space="preserve"> Inputs!O$65</f>
        <v>0</v>
      </c>
      <c r="P57" s="147">
        <f xml:space="preserve"> Inputs!P$65</f>
        <v>0</v>
      </c>
      <c r="Q57" s="147">
        <f xml:space="preserve"> Inputs!Q$65</f>
        <v>0</v>
      </c>
      <c r="R57" s="147">
        <f xml:space="preserve"> Inputs!R$65</f>
        <v>0</v>
      </c>
      <c r="S57" s="147">
        <f xml:space="preserve"> Inputs!S$65</f>
        <v>0</v>
      </c>
      <c r="T57" s="147">
        <f xml:space="preserve"> Inputs!T$65</f>
        <v>0</v>
      </c>
      <c r="U57" s="147">
        <f xml:space="preserve"> Inputs!U$65</f>
        <v>0</v>
      </c>
      <c r="V57" s="147">
        <f xml:space="preserve"> Inputs!V$65</f>
        <v>0</v>
      </c>
    </row>
    <row r="58" spans="1:22" ht="4.7" customHeight="1" outlineLevel="1"/>
    <row r="59" spans="1:22" outlineLevel="1">
      <c r="E59" t="s">
        <v>700</v>
      </c>
      <c r="G59" t="s">
        <v>572</v>
      </c>
      <c r="I59" s="131"/>
      <c r="J59" s="146">
        <f xml:space="preserve"> IF(J44 &gt; 0, J44, I59 * (1 + J$57))</f>
        <v>242.5</v>
      </c>
      <c r="K59" s="146">
        <f t="shared" ref="K59:P59" si="10" xml:space="preserve"> IF(K44 &gt; 0, K44, J59 * (1 + K$57))</f>
        <v>249.5</v>
      </c>
      <c r="L59" s="146">
        <f t="shared" si="10"/>
        <v>255.7</v>
      </c>
      <c r="M59" s="146">
        <f t="shared" si="10"/>
        <v>258</v>
      </c>
      <c r="N59" s="146">
        <f t="shared" si="10"/>
        <v>261.39999999999998</v>
      </c>
      <c r="O59" s="146">
        <f t="shared" si="10"/>
        <v>270.60000000000002</v>
      </c>
      <c r="P59" s="146">
        <f t="shared" si="10"/>
        <v>279.7</v>
      </c>
      <c r="Q59" s="146">
        <f t="shared" ref="Q59:Q70" si="11" xml:space="preserve"> IF(Q44 &gt; 0, Q44, P59 * (1 + Q$57))</f>
        <v>288.2</v>
      </c>
      <c r="R59" s="146">
        <f t="shared" ref="R59:R70" si="12" xml:space="preserve"> IF(R44 &gt; 0, R44, Q59 * (1 + R$57))</f>
        <v>296.7</v>
      </c>
      <c r="S59" s="146">
        <f t="shared" ref="S59:S70" si="13" xml:space="preserve"> IF(S44 &gt; 0, S44, R59 * (1 + S$57))</f>
        <v>305.60000000000002</v>
      </c>
      <c r="T59" s="146">
        <f t="shared" ref="T59:T70" si="14" xml:space="preserve"> IF(T44 &gt; 0, T44, S59 * (1 + T$57))</f>
        <v>314.8</v>
      </c>
      <c r="U59" s="146">
        <f t="shared" ref="U59:U70" si="15" xml:space="preserve"> IF(U44 &gt; 0, U44, T59 * (1 + U$57))</f>
        <v>324.2</v>
      </c>
      <c r="V59" s="146">
        <f t="shared" ref="V59:V70" si="16" xml:space="preserve"> IF(V44 &gt; 0, V44, U59 * (1 + V$57))</f>
        <v>333.9</v>
      </c>
    </row>
    <row r="60" spans="1:22" outlineLevel="2">
      <c r="E60" t="s">
        <v>701</v>
      </c>
      <c r="G60" t="s">
        <v>572</v>
      </c>
      <c r="I60" s="131"/>
      <c r="J60" s="146">
        <f t="shared" ref="J60:P60" si="17" xml:space="preserve"> IF(J45 &gt; 0, J45, I60 * (1 + J$57))</f>
        <v>242.4</v>
      </c>
      <c r="K60" s="146">
        <f t="shared" si="17"/>
        <v>250</v>
      </c>
      <c r="L60" s="146">
        <f t="shared" si="17"/>
        <v>255.9</v>
      </c>
      <c r="M60" s="146">
        <f t="shared" si="17"/>
        <v>258.5</v>
      </c>
      <c r="N60" s="146">
        <f t="shared" si="17"/>
        <v>262.10000000000002</v>
      </c>
      <c r="O60" s="146">
        <f t="shared" si="17"/>
        <v>271.7</v>
      </c>
      <c r="P60" s="146">
        <f t="shared" si="17"/>
        <v>280.7</v>
      </c>
      <c r="Q60" s="146">
        <f t="shared" si="11"/>
        <v>289.2</v>
      </c>
      <c r="R60" s="146">
        <f t="shared" si="12"/>
        <v>297.8</v>
      </c>
      <c r="S60" s="146">
        <f t="shared" si="13"/>
        <v>306.7</v>
      </c>
      <c r="T60" s="146">
        <f t="shared" si="14"/>
        <v>315.89999999999998</v>
      </c>
      <c r="U60" s="146">
        <f t="shared" si="15"/>
        <v>325.39999999999998</v>
      </c>
      <c r="V60" s="146">
        <f t="shared" si="16"/>
        <v>335.2</v>
      </c>
    </row>
    <row r="61" spans="1:22" outlineLevel="2">
      <c r="E61" t="s">
        <v>702</v>
      </c>
      <c r="G61" t="s">
        <v>572</v>
      </c>
      <c r="I61" s="131"/>
      <c r="J61" s="146">
        <f t="shared" ref="J61:P61" si="18" xml:space="preserve"> IF(J46 &gt; 0, J46, I61 * (1 + J$57))</f>
        <v>241.8</v>
      </c>
      <c r="K61" s="146">
        <f t="shared" si="18"/>
        <v>249.7</v>
      </c>
      <c r="L61" s="146">
        <f t="shared" si="18"/>
        <v>256.3</v>
      </c>
      <c r="M61" s="146">
        <f t="shared" si="18"/>
        <v>258.89999999999998</v>
      </c>
      <c r="N61" s="146">
        <f t="shared" si="18"/>
        <v>263.10000000000002</v>
      </c>
      <c r="O61" s="146">
        <f t="shared" si="18"/>
        <v>272.3</v>
      </c>
      <c r="P61" s="146">
        <f t="shared" si="18"/>
        <v>281.5</v>
      </c>
      <c r="Q61" s="146">
        <f t="shared" si="11"/>
        <v>289.89999999999998</v>
      </c>
      <c r="R61" s="146">
        <f t="shared" si="12"/>
        <v>298.60000000000002</v>
      </c>
      <c r="S61" s="146">
        <f t="shared" si="13"/>
        <v>307.60000000000002</v>
      </c>
      <c r="T61" s="146">
        <f t="shared" si="14"/>
        <v>316.8</v>
      </c>
      <c r="U61" s="146">
        <f t="shared" si="15"/>
        <v>326.3</v>
      </c>
      <c r="V61" s="146">
        <f t="shared" si="16"/>
        <v>336.1</v>
      </c>
    </row>
    <row r="62" spans="1:22" outlineLevel="2">
      <c r="E62" t="s">
        <v>703</v>
      </c>
      <c r="G62" t="s">
        <v>572</v>
      </c>
      <c r="I62" s="131"/>
      <c r="J62" s="146">
        <f t="shared" ref="J62:P62" si="19" xml:space="preserve"> IF(J47 &gt; 0, J47, I62 * (1 + J$57))</f>
        <v>242.1</v>
      </c>
      <c r="K62" s="146">
        <f t="shared" si="19"/>
        <v>249.7</v>
      </c>
      <c r="L62" s="146">
        <f t="shared" si="19"/>
        <v>256</v>
      </c>
      <c r="M62" s="146">
        <f t="shared" si="19"/>
        <v>258.60000000000002</v>
      </c>
      <c r="N62" s="146">
        <f t="shared" si="19"/>
        <v>263.39999999999998</v>
      </c>
      <c r="O62" s="146">
        <f t="shared" si="19"/>
        <v>272.89999999999998</v>
      </c>
      <c r="P62" s="146">
        <f t="shared" si="19"/>
        <v>281.7</v>
      </c>
      <c r="Q62" s="146">
        <f t="shared" si="11"/>
        <v>290.2</v>
      </c>
      <c r="R62" s="146">
        <f t="shared" si="12"/>
        <v>298.89999999999998</v>
      </c>
      <c r="S62" s="146">
        <f t="shared" si="13"/>
        <v>307.89999999999998</v>
      </c>
      <c r="T62" s="146">
        <f t="shared" si="14"/>
        <v>317.10000000000002</v>
      </c>
      <c r="U62" s="146">
        <f t="shared" si="15"/>
        <v>326.60000000000002</v>
      </c>
      <c r="V62" s="146">
        <f t="shared" si="16"/>
        <v>336.4</v>
      </c>
    </row>
    <row r="63" spans="1:22" outlineLevel="2">
      <c r="E63" t="s">
        <v>704</v>
      </c>
      <c r="G63" t="s">
        <v>572</v>
      </c>
      <c r="I63" s="131"/>
      <c r="J63" s="146">
        <f t="shared" ref="J63:P63" si="20" xml:space="preserve"> IF(J48 &gt; 0, J48, I63 * (1 + J$57))</f>
        <v>243</v>
      </c>
      <c r="K63" s="146">
        <f t="shared" si="20"/>
        <v>251</v>
      </c>
      <c r="L63" s="146">
        <f t="shared" si="20"/>
        <v>257</v>
      </c>
      <c r="M63" s="146">
        <f t="shared" si="20"/>
        <v>259.8</v>
      </c>
      <c r="N63" s="146">
        <f t="shared" si="20"/>
        <v>264.39999999999998</v>
      </c>
      <c r="O63" s="146">
        <f t="shared" si="20"/>
        <v>274.7</v>
      </c>
      <c r="P63" s="146">
        <f t="shared" si="20"/>
        <v>284.2</v>
      </c>
      <c r="Q63" s="146">
        <f t="shared" si="11"/>
        <v>292.7</v>
      </c>
      <c r="R63" s="146">
        <f t="shared" si="12"/>
        <v>301.5</v>
      </c>
      <c r="S63" s="146">
        <f t="shared" si="13"/>
        <v>310.5</v>
      </c>
      <c r="T63" s="146">
        <f t="shared" si="14"/>
        <v>319.8</v>
      </c>
      <c r="U63" s="146">
        <f t="shared" si="15"/>
        <v>329.4</v>
      </c>
      <c r="V63" s="146">
        <f t="shared" si="16"/>
        <v>339.3</v>
      </c>
    </row>
    <row r="64" spans="1:22" outlineLevel="2">
      <c r="E64" t="s">
        <v>705</v>
      </c>
      <c r="G64" t="s">
        <v>572</v>
      </c>
      <c r="I64" s="131"/>
      <c r="J64" s="146">
        <f t="shared" ref="J64:P64" si="21" xml:space="preserve"> IF(J49 &gt; 0, J49, I64 * (1 + J$57))</f>
        <v>244.2</v>
      </c>
      <c r="K64" s="146">
        <f t="shared" si="21"/>
        <v>251.9</v>
      </c>
      <c r="L64" s="146">
        <f t="shared" si="21"/>
        <v>257.60000000000002</v>
      </c>
      <c r="M64" s="146">
        <f t="shared" si="21"/>
        <v>259.60000000000002</v>
      </c>
      <c r="N64" s="146">
        <f t="shared" si="21"/>
        <v>264.89999999999998</v>
      </c>
      <c r="O64" s="146">
        <f t="shared" si="21"/>
        <v>275.10000000000002</v>
      </c>
      <c r="P64" s="146">
        <f t="shared" si="21"/>
        <v>284.10000000000002</v>
      </c>
      <c r="Q64" s="146">
        <f t="shared" si="11"/>
        <v>292.60000000000002</v>
      </c>
      <c r="R64" s="146">
        <f t="shared" si="12"/>
        <v>301.39999999999998</v>
      </c>
      <c r="S64" s="146">
        <f t="shared" si="13"/>
        <v>310.39999999999998</v>
      </c>
      <c r="T64" s="146">
        <f t="shared" si="14"/>
        <v>319.7</v>
      </c>
      <c r="U64" s="146">
        <f t="shared" si="15"/>
        <v>329.3</v>
      </c>
      <c r="V64" s="146">
        <f t="shared" si="16"/>
        <v>339.2</v>
      </c>
    </row>
    <row r="65" spans="1:22" outlineLevel="2">
      <c r="E65" t="s">
        <v>706</v>
      </c>
      <c r="G65" t="s">
        <v>572</v>
      </c>
      <c r="I65" s="131"/>
      <c r="J65" s="146">
        <f t="shared" ref="J65:P65" si="22" xml:space="preserve"> IF(J50 &gt; 0, J50, I65 * (1 + J$57))</f>
        <v>245.6</v>
      </c>
      <c r="K65" s="146">
        <f t="shared" si="22"/>
        <v>251.9</v>
      </c>
      <c r="L65" s="146">
        <f t="shared" si="22"/>
        <v>257.7</v>
      </c>
      <c r="M65" s="146">
        <f t="shared" si="22"/>
        <v>259.5</v>
      </c>
      <c r="N65" s="146">
        <f t="shared" si="22"/>
        <v>264.8</v>
      </c>
      <c r="O65" s="146">
        <f t="shared" si="22"/>
        <v>275.3</v>
      </c>
      <c r="P65" s="146">
        <f t="shared" si="22"/>
        <v>284.5</v>
      </c>
      <c r="Q65" s="146">
        <f t="shared" si="11"/>
        <v>293</v>
      </c>
      <c r="R65" s="146">
        <f t="shared" si="12"/>
        <v>301.8</v>
      </c>
      <c r="S65" s="146">
        <f t="shared" si="13"/>
        <v>310.89999999999998</v>
      </c>
      <c r="T65" s="146">
        <f t="shared" si="14"/>
        <v>320.2</v>
      </c>
      <c r="U65" s="146">
        <f t="shared" si="15"/>
        <v>329.8</v>
      </c>
      <c r="V65" s="146">
        <f t="shared" si="16"/>
        <v>339.7</v>
      </c>
    </row>
    <row r="66" spans="1:22" outlineLevel="2">
      <c r="E66" t="s">
        <v>707</v>
      </c>
      <c r="G66" t="s">
        <v>572</v>
      </c>
      <c r="I66" s="131"/>
      <c r="J66" s="146">
        <f t="shared" ref="J66:P66" si="23" xml:space="preserve"> IF(J51 &gt; 0, J51, I66 * (1 + J$57))</f>
        <v>245.6</v>
      </c>
      <c r="K66" s="146">
        <f t="shared" si="23"/>
        <v>252.1</v>
      </c>
      <c r="L66" s="146">
        <f t="shared" si="23"/>
        <v>257.10000000000002</v>
      </c>
      <c r="M66" s="146">
        <f t="shared" si="23"/>
        <v>259.8</v>
      </c>
      <c r="N66" s="146">
        <f t="shared" si="23"/>
        <v>265.5</v>
      </c>
      <c r="O66" s="146">
        <f t="shared" si="23"/>
        <v>275.8</v>
      </c>
      <c r="P66" s="146">
        <f t="shared" si="23"/>
        <v>284.60000000000002</v>
      </c>
      <c r="Q66" s="146">
        <f t="shared" si="11"/>
        <v>293.10000000000002</v>
      </c>
      <c r="R66" s="146">
        <f t="shared" si="12"/>
        <v>301.89999999999998</v>
      </c>
      <c r="S66" s="146">
        <f t="shared" si="13"/>
        <v>311</v>
      </c>
      <c r="T66" s="146">
        <f t="shared" si="14"/>
        <v>320.3</v>
      </c>
      <c r="U66" s="146">
        <f t="shared" si="15"/>
        <v>329.9</v>
      </c>
      <c r="V66" s="146">
        <f t="shared" si="16"/>
        <v>339.8</v>
      </c>
    </row>
    <row r="67" spans="1:22" outlineLevel="2">
      <c r="E67" t="s">
        <v>708</v>
      </c>
      <c r="G67" t="s">
        <v>572</v>
      </c>
      <c r="I67" s="131"/>
      <c r="J67" s="146">
        <f t="shared" ref="J67:P67" si="24" xml:space="preserve"> IF(J52 &gt; 0, J52, I67 * (1 + J$57))</f>
        <v>246.8</v>
      </c>
      <c r="K67" s="146">
        <f t="shared" si="24"/>
        <v>253.4</v>
      </c>
      <c r="L67" s="146">
        <f t="shared" si="24"/>
        <v>257.5</v>
      </c>
      <c r="M67" s="146">
        <f t="shared" si="24"/>
        <v>260.60000000000002</v>
      </c>
      <c r="N67" s="146">
        <f t="shared" si="24"/>
        <v>267.10000000000002</v>
      </c>
      <c r="O67" s="146">
        <f t="shared" si="24"/>
        <v>278.10000000000002</v>
      </c>
      <c r="P67" s="146">
        <f t="shared" si="24"/>
        <v>285.60000000000002</v>
      </c>
      <c r="Q67" s="146">
        <f t="shared" si="11"/>
        <v>294.2</v>
      </c>
      <c r="R67" s="146">
        <f t="shared" si="12"/>
        <v>303</v>
      </c>
      <c r="S67" s="146">
        <f t="shared" si="13"/>
        <v>312.10000000000002</v>
      </c>
      <c r="T67" s="146">
        <f t="shared" si="14"/>
        <v>321.5</v>
      </c>
      <c r="U67" s="146">
        <f t="shared" si="15"/>
        <v>331.1</v>
      </c>
      <c r="V67" s="146">
        <f t="shared" si="16"/>
        <v>341</v>
      </c>
    </row>
    <row r="68" spans="1:22" outlineLevel="2">
      <c r="E68" t="s">
        <v>709</v>
      </c>
      <c r="G68" t="s">
        <v>572</v>
      </c>
      <c r="I68" s="131"/>
      <c r="J68" s="146">
        <f t="shared" ref="J68:P68" si="25" xml:space="preserve"> IF(J53 &gt; 0, J53, I68 * (1 + J$57))</f>
        <v>245.8</v>
      </c>
      <c r="K68" s="146">
        <f t="shared" si="25"/>
        <v>252.6</v>
      </c>
      <c r="L68" s="146">
        <f t="shared" si="25"/>
        <v>255.4</v>
      </c>
      <c r="M68" s="146">
        <f t="shared" si="25"/>
        <v>258.8</v>
      </c>
      <c r="N68" s="146">
        <f t="shared" si="25"/>
        <v>265.5</v>
      </c>
      <c r="O68" s="146">
        <f t="shared" si="25"/>
        <v>276</v>
      </c>
      <c r="P68" s="146">
        <f t="shared" si="25"/>
        <v>283</v>
      </c>
      <c r="Q68" s="146">
        <f t="shared" si="11"/>
        <v>291.5</v>
      </c>
      <c r="R68" s="146">
        <f t="shared" si="12"/>
        <v>300.2</v>
      </c>
      <c r="S68" s="146">
        <f t="shared" si="13"/>
        <v>309.2</v>
      </c>
      <c r="T68" s="146">
        <f t="shared" si="14"/>
        <v>318.5</v>
      </c>
      <c r="U68" s="146">
        <f t="shared" si="15"/>
        <v>328.1</v>
      </c>
      <c r="V68" s="146">
        <f t="shared" si="16"/>
        <v>337.9</v>
      </c>
    </row>
    <row r="69" spans="1:22" outlineLevel="2">
      <c r="E69" t="s">
        <v>710</v>
      </c>
      <c r="G69" t="s">
        <v>572</v>
      </c>
      <c r="I69" s="131"/>
      <c r="J69" s="146">
        <f t="shared" ref="J69:P69" si="26" xml:space="preserve"> IF(J54 &gt; 0, J54, I69 * (1 + J$57))</f>
        <v>247.6</v>
      </c>
      <c r="K69" s="146">
        <f t="shared" si="26"/>
        <v>254.2</v>
      </c>
      <c r="L69" s="146">
        <f t="shared" si="26"/>
        <v>256.7</v>
      </c>
      <c r="M69" s="146">
        <f t="shared" si="26"/>
        <v>260</v>
      </c>
      <c r="N69" s="146">
        <f t="shared" si="26"/>
        <v>268.39999999999998</v>
      </c>
      <c r="O69" s="146">
        <f t="shared" si="26"/>
        <v>278.10000000000002</v>
      </c>
      <c r="P69" s="146">
        <f t="shared" si="26"/>
        <v>285</v>
      </c>
      <c r="Q69" s="146">
        <f t="shared" si="11"/>
        <v>295</v>
      </c>
      <c r="R69" s="146">
        <f t="shared" si="12"/>
        <v>303.89999999999998</v>
      </c>
      <c r="S69" s="146">
        <f t="shared" si="13"/>
        <v>313</v>
      </c>
      <c r="T69" s="146">
        <f t="shared" si="14"/>
        <v>322.39999999999998</v>
      </c>
      <c r="U69" s="146">
        <f t="shared" si="15"/>
        <v>332.1</v>
      </c>
      <c r="V69" s="146">
        <f t="shared" si="16"/>
        <v>342.1</v>
      </c>
    </row>
    <row r="70" spans="1:22" outlineLevel="2">
      <c r="E70" t="s">
        <v>711</v>
      </c>
      <c r="G70" t="s">
        <v>572</v>
      </c>
      <c r="I70" s="131"/>
      <c r="J70" s="146">
        <f t="shared" ref="J70:P70" si="27" xml:space="preserve"> IF(J55 &gt; 0, J55, I70 * (1 + J$57))</f>
        <v>248.7</v>
      </c>
      <c r="K70" s="146">
        <f t="shared" si="27"/>
        <v>254.8</v>
      </c>
      <c r="L70" s="146">
        <f t="shared" si="27"/>
        <v>257.10000000000002</v>
      </c>
      <c r="M70" s="146">
        <f t="shared" si="27"/>
        <v>261.10000000000002</v>
      </c>
      <c r="N70" s="146">
        <f t="shared" si="27"/>
        <v>269.3</v>
      </c>
      <c r="O70" s="146">
        <f t="shared" si="27"/>
        <v>278.3</v>
      </c>
      <c r="P70" s="146">
        <f t="shared" si="27"/>
        <v>285.10000000000002</v>
      </c>
      <c r="Q70" s="146">
        <f t="shared" si="11"/>
        <v>295.2</v>
      </c>
      <c r="R70" s="146">
        <f t="shared" si="12"/>
        <v>304.10000000000002</v>
      </c>
      <c r="S70" s="146">
        <f t="shared" si="13"/>
        <v>313.2</v>
      </c>
      <c r="T70" s="146">
        <f t="shared" si="14"/>
        <v>322.60000000000002</v>
      </c>
      <c r="U70" s="146">
        <f t="shared" si="15"/>
        <v>332.3</v>
      </c>
      <c r="V70" s="146">
        <f t="shared" si="16"/>
        <v>342.3</v>
      </c>
    </row>
    <row r="71" spans="1:22" ht="4.7" customHeight="1" outlineLevel="1"/>
    <row r="72" spans="1:22" outlineLevel="1">
      <c r="E72" s="146" t="s">
        <v>712</v>
      </c>
      <c r="F72" s="146"/>
      <c r="G72" s="146" t="s">
        <v>572</v>
      </c>
      <c r="H72" s="146"/>
      <c r="I72" s="146"/>
      <c r="J72" s="146">
        <f t="shared" ref="J72:P72" si="28" xml:space="preserve"> AVERAGE(J59:J70)</f>
        <v>244.67499999999998</v>
      </c>
      <c r="K72" s="146">
        <f t="shared" si="28"/>
        <v>251.73333333333335</v>
      </c>
      <c r="L72" s="146">
        <f t="shared" si="28"/>
        <v>256.66666666666669</v>
      </c>
      <c r="M72" s="146">
        <f t="shared" si="28"/>
        <v>259.43333333333334</v>
      </c>
      <c r="N72" s="146">
        <f t="shared" si="28"/>
        <v>264.99166666666673</v>
      </c>
      <c r="O72" s="146">
        <f t="shared" si="28"/>
        <v>274.90833333333336</v>
      </c>
      <c r="P72" s="146">
        <f t="shared" si="28"/>
        <v>283.30833333333334</v>
      </c>
      <c r="Q72" s="146">
        <f t="shared" ref="Q72:V72" si="29" xml:space="preserve"> AVERAGE(Q59:Q70)</f>
        <v>292.06666666666666</v>
      </c>
      <c r="R72" s="146">
        <f t="shared" si="29"/>
        <v>300.81666666666666</v>
      </c>
      <c r="S72" s="146">
        <f t="shared" si="29"/>
        <v>309.84166666666664</v>
      </c>
      <c r="T72" s="146">
        <f t="shared" si="29"/>
        <v>319.13333333333333</v>
      </c>
      <c r="U72" s="146">
        <f t="shared" si="29"/>
        <v>328.70833333333331</v>
      </c>
      <c r="V72" s="146">
        <f t="shared" si="29"/>
        <v>338.57499999999999</v>
      </c>
    </row>
    <row r="73" spans="1:22" outlineLevel="1">
      <c r="J73" s="171"/>
      <c r="K73" s="171"/>
      <c r="L73" s="171"/>
      <c r="M73" s="171"/>
      <c r="N73" s="171"/>
      <c r="O73" s="171"/>
      <c r="P73" s="171"/>
      <c r="Q73" s="171"/>
      <c r="R73" s="171"/>
      <c r="S73" s="171"/>
      <c r="T73" s="171"/>
      <c r="U73" s="171"/>
      <c r="V73" s="171"/>
    </row>
    <row r="75" spans="1:22" ht="12.75" customHeight="1">
      <c r="A75" s="39" t="s">
        <v>713</v>
      </c>
      <c r="B75" s="39"/>
      <c r="C75" s="40"/>
      <c r="D75" s="39"/>
      <c r="E75" s="39"/>
      <c r="F75" s="39"/>
      <c r="G75" s="39"/>
      <c r="H75" s="39"/>
      <c r="I75" s="39"/>
      <c r="J75" s="39"/>
      <c r="K75" s="39"/>
      <c r="L75" s="39"/>
      <c r="M75" s="39"/>
      <c r="N75" s="39"/>
      <c r="O75" s="39"/>
      <c r="P75" s="39"/>
      <c r="Q75" s="39"/>
      <c r="R75" s="39"/>
      <c r="S75" s="39"/>
      <c r="T75" s="39"/>
      <c r="U75" s="39"/>
      <c r="V75" s="39"/>
    </row>
    <row r="76" spans="1:22" outlineLevel="1"/>
    <row r="77" spans="1:22" outlineLevel="1">
      <c r="B77" s="10" t="str">
        <f xml:space="preserve"> "Inflation from " &amp; F78 &amp; " FYA to " &amp; F79 &amp; " FYE - RPI"</f>
        <v>Inflation from 2013 FYA to 2020 FYE - RPI</v>
      </c>
    </row>
    <row r="78" spans="1:22" s="140" customFormat="1" outlineLevel="1">
      <c r="A78" s="169"/>
      <c r="B78" s="169"/>
      <c r="C78" s="170"/>
      <c r="D78" s="24"/>
      <c r="E78" s="168" t="str">
        <f xml:space="preserve"> Inputs!E$69</f>
        <v>Year reference for FYA base price 1</v>
      </c>
      <c r="F78" s="168">
        <f xml:space="preserve"> Inputs!F$69</f>
        <v>2013</v>
      </c>
      <c r="G78" s="168" t="str">
        <f xml:space="preserve"> Inputs!G$69</f>
        <v>year #</v>
      </c>
    </row>
    <row r="79" spans="1:22" outlineLevel="1">
      <c r="E79" s="168" t="str">
        <f xml:space="preserve"> Inputs!E$73</f>
        <v>Year reference for FYE end price</v>
      </c>
      <c r="F79" s="168">
        <f xml:space="preserve"> Inputs!F$73</f>
        <v>2020</v>
      </c>
      <c r="G79" s="168" t="str">
        <f xml:space="preserve"> Inputs!G$73</f>
        <v>year #</v>
      </c>
    </row>
    <row r="80" spans="1:22" s="156" customFormat="1" outlineLevel="1">
      <c r="A80" s="154"/>
      <c r="B80" s="154"/>
      <c r="C80" s="155"/>
      <c r="D80" s="152"/>
      <c r="E80" s="41" t="str">
        <f t="shared" ref="E80:V80" si="30" xml:space="preserve"> E$72</f>
        <v>RPI: Financial year average - index</v>
      </c>
      <c r="F80" s="41">
        <f t="shared" si="30"/>
        <v>0</v>
      </c>
      <c r="G80" s="41" t="str">
        <f t="shared" si="30"/>
        <v>index</v>
      </c>
      <c r="H80" s="41">
        <f t="shared" si="30"/>
        <v>0</v>
      </c>
      <c r="I80" s="41">
        <f t="shared" si="30"/>
        <v>0</v>
      </c>
      <c r="J80" s="41">
        <f t="shared" si="30"/>
        <v>244.67499999999998</v>
      </c>
      <c r="K80" s="41">
        <f t="shared" si="30"/>
        <v>251.73333333333335</v>
      </c>
      <c r="L80" s="41">
        <f t="shared" si="30"/>
        <v>256.66666666666669</v>
      </c>
      <c r="M80" s="41">
        <f t="shared" si="30"/>
        <v>259.43333333333334</v>
      </c>
      <c r="N80" s="41">
        <f t="shared" si="30"/>
        <v>264.99166666666673</v>
      </c>
      <c r="O80" s="41">
        <f t="shared" si="30"/>
        <v>274.90833333333336</v>
      </c>
      <c r="P80" s="41">
        <f t="shared" si="30"/>
        <v>283.30833333333334</v>
      </c>
      <c r="Q80" s="41">
        <f t="shared" si="30"/>
        <v>292.06666666666666</v>
      </c>
      <c r="R80" s="41">
        <f t="shared" si="30"/>
        <v>300.81666666666666</v>
      </c>
      <c r="S80" s="41">
        <f t="shared" si="30"/>
        <v>309.84166666666664</v>
      </c>
      <c r="T80" s="41">
        <f t="shared" si="30"/>
        <v>319.13333333333333</v>
      </c>
      <c r="U80" s="41">
        <f t="shared" si="30"/>
        <v>328.70833333333331</v>
      </c>
      <c r="V80" s="41">
        <f t="shared" si="30"/>
        <v>338.57499999999999</v>
      </c>
    </row>
    <row r="81" spans="1:22" s="156" customFormat="1" outlineLevel="1">
      <c r="A81" s="154"/>
      <c r="B81" s="154"/>
      <c r="C81" s="155"/>
      <c r="D81" s="152"/>
      <c r="E81" s="41" t="str">
        <f t="shared" ref="E81:V81" si="31" xml:space="preserve"> E$70</f>
        <v>RPI: March - index</v>
      </c>
      <c r="F81" s="41">
        <f t="shared" si="31"/>
        <v>0</v>
      </c>
      <c r="G81" s="41" t="str">
        <f t="shared" si="31"/>
        <v>index</v>
      </c>
      <c r="H81" s="41">
        <f t="shared" si="31"/>
        <v>0</v>
      </c>
      <c r="I81" s="41">
        <f t="shared" si="31"/>
        <v>0</v>
      </c>
      <c r="J81" s="41">
        <f t="shared" si="31"/>
        <v>248.7</v>
      </c>
      <c r="K81" s="41">
        <f t="shared" si="31"/>
        <v>254.8</v>
      </c>
      <c r="L81" s="41">
        <f t="shared" si="31"/>
        <v>257.10000000000002</v>
      </c>
      <c r="M81" s="41">
        <f t="shared" si="31"/>
        <v>261.10000000000002</v>
      </c>
      <c r="N81" s="41">
        <f t="shared" si="31"/>
        <v>269.3</v>
      </c>
      <c r="O81" s="41">
        <f t="shared" si="31"/>
        <v>278.3</v>
      </c>
      <c r="P81" s="41">
        <f t="shared" si="31"/>
        <v>285.10000000000002</v>
      </c>
      <c r="Q81" s="41">
        <f t="shared" si="31"/>
        <v>295.2</v>
      </c>
      <c r="R81" s="41">
        <f t="shared" si="31"/>
        <v>304.10000000000002</v>
      </c>
      <c r="S81" s="41">
        <f t="shared" si="31"/>
        <v>313.2</v>
      </c>
      <c r="T81" s="41">
        <f t="shared" si="31"/>
        <v>322.60000000000002</v>
      </c>
      <c r="U81" s="41">
        <f t="shared" si="31"/>
        <v>332.3</v>
      </c>
      <c r="V81" s="41">
        <f t="shared" si="31"/>
        <v>342.3</v>
      </c>
    </row>
    <row r="82" spans="1:22" s="182" customFormat="1" outlineLevel="1">
      <c r="A82" s="179"/>
      <c r="B82" s="179"/>
      <c r="C82" s="180"/>
      <c r="D82" s="181"/>
      <c r="E82" s="181" t="str">
        <f xml:space="preserve"> "RPI inflate from " &amp; F78 &amp; " FYA to " &amp; F79 &amp; " FYE"</f>
        <v>RPI inflate from 2013 FYA to 2020 FYE</v>
      </c>
      <c r="F82" s="369">
        <f xml:space="preserve"> INDEX($J81:$V81, 1, MATCH($F79,$J$4:$V$4)) / INDEX($J80:$V80, 1, MATCH($F78,$J$4:$V$4))</f>
        <v>1.206498416266476</v>
      </c>
      <c r="G82" s="181" t="s">
        <v>714</v>
      </c>
      <c r="H82" s="181"/>
      <c r="I82" s="181"/>
      <c r="J82" s="181"/>
      <c r="K82" s="181"/>
      <c r="L82" s="181"/>
      <c r="M82" s="181"/>
      <c r="N82" s="181"/>
      <c r="O82" s="181"/>
      <c r="P82" s="181"/>
      <c r="Q82" s="181"/>
      <c r="R82" s="181"/>
      <c r="S82" s="181"/>
      <c r="T82" s="181"/>
      <c r="U82" s="181"/>
      <c r="V82" s="181"/>
    </row>
    <row r="83" spans="1:22" s="182" customFormat="1" outlineLevel="1">
      <c r="A83" s="179"/>
      <c r="B83" s="179"/>
      <c r="C83" s="180"/>
      <c r="D83" s="181"/>
      <c r="E83" s="181"/>
      <c r="F83" s="181"/>
      <c r="G83" s="181"/>
      <c r="H83" s="181"/>
      <c r="I83" s="181"/>
      <c r="J83" s="181"/>
      <c r="K83" s="181"/>
      <c r="L83" s="181"/>
      <c r="M83" s="181"/>
      <c r="N83" s="181"/>
      <c r="O83" s="181"/>
      <c r="P83" s="181"/>
      <c r="Q83" s="181"/>
      <c r="R83" s="181"/>
      <c r="S83" s="181"/>
      <c r="T83" s="181"/>
      <c r="U83" s="181"/>
      <c r="V83" s="181"/>
    </row>
    <row r="84" spans="1:22" outlineLevel="1">
      <c r="B84" s="10" t="str">
        <f xml:space="preserve"> "Inflation from " &amp; F85 &amp; " FYA to " &amp; F86 &amp; " FYE - RPI"</f>
        <v>Inflation from 2018 FYA to 2020 FYE - RPI</v>
      </c>
    </row>
    <row r="85" spans="1:22" s="140" customFormat="1" outlineLevel="1">
      <c r="A85" s="169"/>
      <c r="B85" s="169"/>
      <c r="C85" s="170"/>
      <c r="D85" s="24"/>
      <c r="E85" s="168" t="str">
        <f xml:space="preserve"> Inputs!E$70</f>
        <v>Year reference for FYA base price 2</v>
      </c>
      <c r="F85" s="168">
        <f xml:space="preserve"> Inputs!F$70</f>
        <v>2018</v>
      </c>
      <c r="G85" s="168" t="str">
        <f xml:space="preserve"> Inputs!G$70</f>
        <v>year #</v>
      </c>
    </row>
    <row r="86" spans="1:22" outlineLevel="1">
      <c r="E86" s="168" t="str">
        <f xml:space="preserve"> Inputs!E$73</f>
        <v>Year reference for FYE end price</v>
      </c>
      <c r="F86" s="168">
        <f xml:space="preserve"> Inputs!F$73</f>
        <v>2020</v>
      </c>
      <c r="G86" s="168" t="str">
        <f xml:space="preserve"> Inputs!G$73</f>
        <v>year #</v>
      </c>
    </row>
    <row r="87" spans="1:22" s="156" customFormat="1" outlineLevel="1">
      <c r="A87" s="154"/>
      <c r="B87" s="154"/>
      <c r="C87" s="155"/>
      <c r="D87" s="152"/>
      <c r="E87" s="41" t="str">
        <f t="shared" ref="E87:V87" si="32" xml:space="preserve"> E$72</f>
        <v>RPI: Financial year average - index</v>
      </c>
      <c r="F87" s="41">
        <f t="shared" si="32"/>
        <v>0</v>
      </c>
      <c r="G87" s="41" t="str">
        <f t="shared" si="32"/>
        <v>index</v>
      </c>
      <c r="H87" s="41">
        <f t="shared" si="32"/>
        <v>0</v>
      </c>
      <c r="I87" s="41">
        <f t="shared" si="32"/>
        <v>0</v>
      </c>
      <c r="J87" s="41">
        <f t="shared" si="32"/>
        <v>244.67499999999998</v>
      </c>
      <c r="K87" s="41">
        <f t="shared" si="32"/>
        <v>251.73333333333335</v>
      </c>
      <c r="L87" s="41">
        <f t="shared" si="32"/>
        <v>256.66666666666669</v>
      </c>
      <c r="M87" s="41">
        <f t="shared" si="32"/>
        <v>259.43333333333334</v>
      </c>
      <c r="N87" s="41">
        <f t="shared" si="32"/>
        <v>264.99166666666673</v>
      </c>
      <c r="O87" s="41">
        <f t="shared" si="32"/>
        <v>274.90833333333336</v>
      </c>
      <c r="P87" s="41">
        <f t="shared" si="32"/>
        <v>283.30833333333334</v>
      </c>
      <c r="Q87" s="41">
        <f t="shared" si="32"/>
        <v>292.06666666666666</v>
      </c>
      <c r="R87" s="41">
        <f t="shared" si="32"/>
        <v>300.81666666666666</v>
      </c>
      <c r="S87" s="41">
        <f t="shared" si="32"/>
        <v>309.84166666666664</v>
      </c>
      <c r="T87" s="41">
        <f t="shared" si="32"/>
        <v>319.13333333333333</v>
      </c>
      <c r="U87" s="41">
        <f t="shared" si="32"/>
        <v>328.70833333333331</v>
      </c>
      <c r="V87" s="41">
        <f t="shared" si="32"/>
        <v>338.57499999999999</v>
      </c>
    </row>
    <row r="88" spans="1:22" s="156" customFormat="1" outlineLevel="1">
      <c r="A88" s="154"/>
      <c r="B88" s="154"/>
      <c r="C88" s="155"/>
      <c r="D88" s="152"/>
      <c r="E88" s="41" t="str">
        <f t="shared" ref="E88:V88" si="33" xml:space="preserve"> E$70</f>
        <v>RPI: March - index</v>
      </c>
      <c r="F88" s="41">
        <f t="shared" si="33"/>
        <v>0</v>
      </c>
      <c r="G88" s="41" t="str">
        <f t="shared" si="33"/>
        <v>index</v>
      </c>
      <c r="H88" s="41">
        <f t="shared" si="33"/>
        <v>0</v>
      </c>
      <c r="I88" s="41">
        <f t="shared" si="33"/>
        <v>0</v>
      </c>
      <c r="J88" s="41">
        <f t="shared" si="33"/>
        <v>248.7</v>
      </c>
      <c r="K88" s="41">
        <f t="shared" si="33"/>
        <v>254.8</v>
      </c>
      <c r="L88" s="41">
        <f t="shared" si="33"/>
        <v>257.10000000000002</v>
      </c>
      <c r="M88" s="41">
        <f t="shared" si="33"/>
        <v>261.10000000000002</v>
      </c>
      <c r="N88" s="41">
        <f t="shared" si="33"/>
        <v>269.3</v>
      </c>
      <c r="O88" s="41">
        <f t="shared" si="33"/>
        <v>278.3</v>
      </c>
      <c r="P88" s="41">
        <f t="shared" si="33"/>
        <v>285.10000000000002</v>
      </c>
      <c r="Q88" s="41">
        <f t="shared" si="33"/>
        <v>295.2</v>
      </c>
      <c r="R88" s="41">
        <f t="shared" si="33"/>
        <v>304.10000000000002</v>
      </c>
      <c r="S88" s="41">
        <f t="shared" si="33"/>
        <v>313.2</v>
      </c>
      <c r="T88" s="41">
        <f t="shared" si="33"/>
        <v>322.60000000000002</v>
      </c>
      <c r="U88" s="41">
        <f t="shared" si="33"/>
        <v>332.3</v>
      </c>
      <c r="V88" s="41">
        <f t="shared" si="33"/>
        <v>342.3</v>
      </c>
    </row>
    <row r="89" spans="1:22" s="182" customFormat="1" outlineLevel="1">
      <c r="A89" s="179"/>
      <c r="B89" s="179"/>
      <c r="C89" s="180"/>
      <c r="D89" s="181"/>
      <c r="E89" s="181" t="str">
        <f xml:space="preserve"> "RPI inflate from " &amp; F85 &amp; " FYA to " &amp; F86 &amp; " FYE"</f>
        <v>RPI inflate from 2018 FYA to 2020 FYE</v>
      </c>
      <c r="F89" s="181">
        <f xml:space="preserve"> INDEX($J88:$V88, 1, MATCH($F86,$J$4:$V$4)) / INDEX($J87:$V87, 1, MATCH($F85,$J$4:$V$4))</f>
        <v>1.0738124829488616</v>
      </c>
      <c r="G89" s="181" t="s">
        <v>714</v>
      </c>
      <c r="H89" s="181"/>
      <c r="I89" s="181"/>
      <c r="J89" s="181"/>
      <c r="K89" s="181"/>
      <c r="L89" s="181"/>
      <c r="M89" s="181"/>
      <c r="N89" s="181"/>
      <c r="O89" s="181"/>
      <c r="P89" s="181"/>
      <c r="Q89" s="181"/>
      <c r="R89" s="181"/>
      <c r="S89" s="181"/>
      <c r="T89" s="181"/>
      <c r="U89" s="181"/>
      <c r="V89" s="181"/>
    </row>
    <row r="90" spans="1:22" outlineLevel="1"/>
    <row r="91" spans="1:22" outlineLevel="1">
      <c r="B91" s="10" t="str">
        <f xml:space="preserve"> "Inflation from " &amp; F92 &amp; " FYE to " &amp; F93 &amp; " FYE - RPI"</f>
        <v>Inflation from 2020 FYE to 2020 FYE - RPI</v>
      </c>
    </row>
    <row r="92" spans="1:22" s="140" customFormat="1" outlineLevel="1">
      <c r="A92" s="169"/>
      <c r="B92" s="169"/>
      <c r="C92" s="170"/>
      <c r="D92" s="24"/>
      <c r="E92" s="168" t="str">
        <f xml:space="preserve"> Inputs!E$71</f>
        <v>Year reference for FYE base price 1</v>
      </c>
      <c r="F92" s="168">
        <f xml:space="preserve"> Inputs!F$71</f>
        <v>2020</v>
      </c>
      <c r="G92" s="168" t="str">
        <f xml:space="preserve"> Inputs!G$71</f>
        <v>year #</v>
      </c>
    </row>
    <row r="93" spans="1:22" outlineLevel="1">
      <c r="E93" s="168" t="str">
        <f xml:space="preserve"> Inputs!E$73</f>
        <v>Year reference for FYE end price</v>
      </c>
      <c r="F93" s="168">
        <f xml:space="preserve"> Inputs!F$73</f>
        <v>2020</v>
      </c>
      <c r="G93" s="168" t="str">
        <f xml:space="preserve"> Inputs!G$73</f>
        <v>year #</v>
      </c>
    </row>
    <row r="94" spans="1:22" s="156" customFormat="1" outlineLevel="1">
      <c r="A94" s="154"/>
      <c r="B94" s="154"/>
      <c r="C94" s="155"/>
      <c r="D94" s="152"/>
      <c r="E94" s="41" t="str">
        <f t="shared" ref="E94:V94" si="34" xml:space="preserve"> E$70</f>
        <v>RPI: March - index</v>
      </c>
      <c r="F94" s="41">
        <f t="shared" si="34"/>
        <v>0</v>
      </c>
      <c r="G94" s="41" t="str">
        <f t="shared" si="34"/>
        <v>index</v>
      </c>
      <c r="H94" s="41">
        <f t="shared" si="34"/>
        <v>0</v>
      </c>
      <c r="I94" s="41">
        <f t="shared" si="34"/>
        <v>0</v>
      </c>
      <c r="J94" s="41">
        <f t="shared" si="34"/>
        <v>248.7</v>
      </c>
      <c r="K94" s="41">
        <f t="shared" si="34"/>
        <v>254.8</v>
      </c>
      <c r="L94" s="41">
        <f t="shared" si="34"/>
        <v>257.10000000000002</v>
      </c>
      <c r="M94" s="41">
        <f t="shared" si="34"/>
        <v>261.10000000000002</v>
      </c>
      <c r="N94" s="41">
        <f t="shared" si="34"/>
        <v>269.3</v>
      </c>
      <c r="O94" s="41">
        <f t="shared" si="34"/>
        <v>278.3</v>
      </c>
      <c r="P94" s="41">
        <f t="shared" si="34"/>
        <v>285.10000000000002</v>
      </c>
      <c r="Q94" s="41">
        <f t="shared" si="34"/>
        <v>295.2</v>
      </c>
      <c r="R94" s="41">
        <f t="shared" si="34"/>
        <v>304.10000000000002</v>
      </c>
      <c r="S94" s="41">
        <f t="shared" si="34"/>
        <v>313.2</v>
      </c>
      <c r="T94" s="41">
        <f t="shared" si="34"/>
        <v>322.60000000000002</v>
      </c>
      <c r="U94" s="41">
        <f t="shared" si="34"/>
        <v>332.3</v>
      </c>
      <c r="V94" s="41">
        <f t="shared" si="34"/>
        <v>342.3</v>
      </c>
    </row>
    <row r="95" spans="1:22" s="182" customFormat="1" outlineLevel="1">
      <c r="A95" s="179"/>
      <c r="B95" s="179"/>
      <c r="C95" s="180"/>
      <c r="D95" s="181"/>
      <c r="E95" s="181" t="str">
        <f xml:space="preserve"> "RPI inflate from " &amp; F92 &amp; " FYE to " &amp; F93 &amp; " FYE"</f>
        <v>RPI inflate from 2020 FYE to 2020 FYE</v>
      </c>
      <c r="F95" s="181">
        <f xml:space="preserve"> INDEX($J94:$V94, 1, MATCH($F93,$J$4:$V$4)) / INDEX($J94:$V94, 1, MATCH($F92,$J$4:$V$4))</f>
        <v>1</v>
      </c>
      <c r="G95" s="181" t="s">
        <v>714</v>
      </c>
      <c r="H95" s="181"/>
      <c r="I95" s="181"/>
      <c r="J95" s="181"/>
      <c r="K95" s="181"/>
      <c r="L95" s="181"/>
      <c r="M95" s="181"/>
      <c r="N95" s="181"/>
      <c r="O95" s="181"/>
      <c r="P95" s="181"/>
      <c r="Q95" s="181"/>
      <c r="R95" s="181"/>
      <c r="S95" s="181"/>
      <c r="T95" s="181"/>
      <c r="U95" s="181"/>
      <c r="V95" s="181"/>
    </row>
    <row r="96" spans="1:22" outlineLevel="1"/>
    <row r="97" spans="1:22" outlineLevel="1">
      <c r="B97" s="10" t="str">
        <f xml:space="preserve"> "Inflation from November " &amp; F98 &amp; " FYE to " &amp; F99 &amp; " FYE - RPI"</f>
        <v>Inflation from November 2019 FYE to 2020 FYE - RPI</v>
      </c>
    </row>
    <row r="98" spans="1:22" s="140" customFormat="1" outlineLevel="1">
      <c r="A98" s="169"/>
      <c r="B98" s="169"/>
      <c r="C98" s="170"/>
      <c r="D98" s="24"/>
      <c r="E98" s="168" t="str">
        <f xml:space="preserve"> Inputs!E$72</f>
        <v>Year reference for FYE base price 2</v>
      </c>
      <c r="F98" s="168">
        <f xml:space="preserve"> Inputs!F$72</f>
        <v>2019</v>
      </c>
      <c r="G98" s="168" t="str">
        <f xml:space="preserve"> Inputs!G$72</f>
        <v>year #</v>
      </c>
    </row>
    <row r="99" spans="1:22" outlineLevel="1">
      <c r="E99" s="168" t="str">
        <f xml:space="preserve"> Inputs!E$73</f>
        <v>Year reference for FYE end price</v>
      </c>
      <c r="F99" s="168">
        <f xml:space="preserve"> Inputs!F$73</f>
        <v>2020</v>
      </c>
      <c r="G99" s="168" t="str">
        <f xml:space="preserve"> Inputs!G$73</f>
        <v>year #</v>
      </c>
    </row>
    <row r="100" spans="1:22" outlineLevel="1">
      <c r="E100" s="41" t="str">
        <f t="shared" ref="E100:V100" si="35" xml:space="preserve"> E$66</f>
        <v>RPI: November - index</v>
      </c>
      <c r="F100" s="41">
        <f t="shared" si="35"/>
        <v>0</v>
      </c>
      <c r="G100" s="41" t="str">
        <f t="shared" si="35"/>
        <v>index</v>
      </c>
      <c r="H100" s="41">
        <f t="shared" si="35"/>
        <v>0</v>
      </c>
      <c r="I100" s="41">
        <f t="shared" si="35"/>
        <v>0</v>
      </c>
      <c r="J100" s="41">
        <f t="shared" si="35"/>
        <v>245.6</v>
      </c>
      <c r="K100" s="41">
        <f t="shared" si="35"/>
        <v>252.1</v>
      </c>
      <c r="L100" s="41">
        <f t="shared" si="35"/>
        <v>257.10000000000002</v>
      </c>
      <c r="M100" s="41">
        <f t="shared" si="35"/>
        <v>259.8</v>
      </c>
      <c r="N100" s="41">
        <f t="shared" si="35"/>
        <v>265.5</v>
      </c>
      <c r="O100" s="41">
        <f t="shared" si="35"/>
        <v>275.8</v>
      </c>
      <c r="P100" s="41">
        <f t="shared" si="35"/>
        <v>284.60000000000002</v>
      </c>
      <c r="Q100" s="41">
        <f t="shared" si="35"/>
        <v>293.10000000000002</v>
      </c>
      <c r="R100" s="41">
        <f t="shared" si="35"/>
        <v>301.89999999999998</v>
      </c>
      <c r="S100" s="41">
        <f t="shared" si="35"/>
        <v>311</v>
      </c>
      <c r="T100" s="41">
        <f t="shared" si="35"/>
        <v>320.3</v>
      </c>
      <c r="U100" s="41">
        <f t="shared" si="35"/>
        <v>329.9</v>
      </c>
      <c r="V100" s="41">
        <f t="shared" si="35"/>
        <v>339.8</v>
      </c>
    </row>
    <row r="101" spans="1:22" s="156" customFormat="1" outlineLevel="1">
      <c r="A101" s="154"/>
      <c r="B101" s="154"/>
      <c r="C101" s="155"/>
      <c r="D101" s="152"/>
      <c r="E101" s="41" t="str">
        <f t="shared" ref="E101:V101" si="36" xml:space="preserve"> E$70</f>
        <v>RPI: March - index</v>
      </c>
      <c r="F101" s="41">
        <f t="shared" si="36"/>
        <v>0</v>
      </c>
      <c r="G101" s="41" t="str">
        <f t="shared" si="36"/>
        <v>index</v>
      </c>
      <c r="H101" s="41">
        <f t="shared" si="36"/>
        <v>0</v>
      </c>
      <c r="I101" s="41">
        <f t="shared" si="36"/>
        <v>0</v>
      </c>
      <c r="J101" s="41">
        <f t="shared" si="36"/>
        <v>248.7</v>
      </c>
      <c r="K101" s="41">
        <f t="shared" si="36"/>
        <v>254.8</v>
      </c>
      <c r="L101" s="41">
        <f t="shared" si="36"/>
        <v>257.10000000000002</v>
      </c>
      <c r="M101" s="41">
        <f t="shared" si="36"/>
        <v>261.10000000000002</v>
      </c>
      <c r="N101" s="41">
        <f t="shared" si="36"/>
        <v>269.3</v>
      </c>
      <c r="O101" s="41">
        <f t="shared" si="36"/>
        <v>278.3</v>
      </c>
      <c r="P101" s="41">
        <f t="shared" si="36"/>
        <v>285.10000000000002</v>
      </c>
      <c r="Q101" s="41">
        <f t="shared" si="36"/>
        <v>295.2</v>
      </c>
      <c r="R101" s="41">
        <f t="shared" si="36"/>
        <v>304.10000000000002</v>
      </c>
      <c r="S101" s="41">
        <f t="shared" si="36"/>
        <v>313.2</v>
      </c>
      <c r="T101" s="41">
        <f t="shared" si="36"/>
        <v>322.60000000000002</v>
      </c>
      <c r="U101" s="41">
        <f t="shared" si="36"/>
        <v>332.3</v>
      </c>
      <c r="V101" s="41">
        <f t="shared" si="36"/>
        <v>342.3</v>
      </c>
    </row>
    <row r="102" spans="1:22" s="182" customFormat="1" outlineLevel="1">
      <c r="A102" s="179"/>
      <c r="B102" s="179"/>
      <c r="C102" s="180"/>
      <c r="D102" s="181"/>
      <c r="E102" s="181" t="str">
        <f xml:space="preserve"> "RPI inflate from November " &amp; F98 &amp; " FYE to " &amp; F99 &amp; " FYE"</f>
        <v>RPI inflate from November 2019 FYE to 2020 FYE</v>
      </c>
      <c r="F102" s="181">
        <f xml:space="preserve"> INDEX($J101:$V101, 1, MATCH($F99,$J$4:$V$4)) / INDEX($J100:$V100, 1, MATCH($F98,$J$4:$V$4))</f>
        <v>1.0372452565003512</v>
      </c>
      <c r="G102" s="181" t="s">
        <v>714</v>
      </c>
      <c r="H102" s="181"/>
      <c r="I102" s="181"/>
      <c r="J102" s="181"/>
      <c r="K102" s="181"/>
      <c r="L102" s="181"/>
      <c r="M102" s="181"/>
      <c r="N102" s="181"/>
      <c r="O102" s="181"/>
      <c r="P102" s="181"/>
      <c r="Q102" s="181"/>
      <c r="R102" s="181"/>
      <c r="S102" s="181"/>
      <c r="T102" s="181"/>
      <c r="U102" s="181"/>
      <c r="V102" s="181"/>
    </row>
    <row r="103" spans="1:22" outlineLevel="1"/>
    <row r="105" spans="1:22" ht="12.75" customHeight="1">
      <c r="A105" s="39" t="s">
        <v>715</v>
      </c>
      <c r="B105" s="39"/>
      <c r="C105" s="40"/>
      <c r="D105" s="39"/>
      <c r="E105" s="39"/>
      <c r="F105" s="39"/>
      <c r="G105" s="39"/>
      <c r="H105" s="39"/>
      <c r="I105" s="39"/>
      <c r="J105" s="39"/>
      <c r="K105" s="39"/>
      <c r="L105" s="39"/>
      <c r="M105" s="39"/>
      <c r="N105" s="39"/>
      <c r="O105" s="39"/>
      <c r="P105" s="39"/>
      <c r="Q105" s="39"/>
      <c r="R105" s="39"/>
      <c r="S105" s="39"/>
      <c r="T105" s="39"/>
      <c r="U105" s="39"/>
      <c r="V105" s="39"/>
    </row>
    <row r="106" spans="1:22" outlineLevel="1"/>
    <row r="107" spans="1:22" outlineLevel="1">
      <c r="E107" s="167" t="str">
        <f xml:space="preserve"> Inputs!E$77</f>
        <v>Year reference for FYE base price</v>
      </c>
      <c r="F107" s="167">
        <f xml:space="preserve"> Inputs!F$77</f>
        <v>2020</v>
      </c>
      <c r="G107" s="167" t="str">
        <f xml:space="preserve"> Inputs!G$77</f>
        <v>year #</v>
      </c>
    </row>
    <row r="108" spans="1:22" outlineLevel="1">
      <c r="E108" s="167" t="str">
        <f xml:space="preserve"> Inputs!E$78</f>
        <v>Year reference for FYA end price</v>
      </c>
      <c r="F108" s="167">
        <f xml:space="preserve"> Inputs!F$78</f>
        <v>2018</v>
      </c>
      <c r="G108" s="167" t="str">
        <f xml:space="preserve"> Inputs!G$78</f>
        <v>year #</v>
      </c>
    </row>
    <row r="109" spans="1:22" s="156" customFormat="1" outlineLevel="1">
      <c r="A109" s="154"/>
      <c r="B109" s="154"/>
      <c r="C109" s="155"/>
      <c r="D109" s="152"/>
      <c r="E109" s="41" t="str">
        <f xml:space="preserve"> E$36</f>
        <v>CPIH: March - index</v>
      </c>
      <c r="F109" s="41">
        <f t="shared" ref="F109:V109" si="37" xml:space="preserve"> F$36</f>
        <v>0</v>
      </c>
      <c r="G109" s="41" t="str">
        <f t="shared" si="37"/>
        <v>index</v>
      </c>
      <c r="H109" s="41">
        <f t="shared" si="37"/>
        <v>0</v>
      </c>
      <c r="I109" s="41">
        <f t="shared" si="37"/>
        <v>0</v>
      </c>
      <c r="J109" s="41">
        <f t="shared" si="37"/>
        <v>97.8</v>
      </c>
      <c r="K109" s="41">
        <f t="shared" si="37"/>
        <v>99.3</v>
      </c>
      <c r="L109" s="41">
        <f t="shared" si="37"/>
        <v>99.6</v>
      </c>
      <c r="M109" s="41">
        <f t="shared" si="37"/>
        <v>100.4</v>
      </c>
      <c r="N109" s="41">
        <f t="shared" si="37"/>
        <v>102.7</v>
      </c>
      <c r="O109" s="41">
        <f t="shared" si="37"/>
        <v>105.1</v>
      </c>
      <c r="P109" s="41">
        <f t="shared" si="37"/>
        <v>107</v>
      </c>
      <c r="Q109" s="41">
        <f t="shared" si="37"/>
        <v>109.3</v>
      </c>
      <c r="R109" s="41">
        <f t="shared" si="37"/>
        <v>111.5</v>
      </c>
      <c r="S109" s="41">
        <f t="shared" si="37"/>
        <v>113.7</v>
      </c>
      <c r="T109" s="41">
        <f t="shared" si="37"/>
        <v>116</v>
      </c>
      <c r="U109" s="41">
        <f t="shared" si="37"/>
        <v>118.3</v>
      </c>
      <c r="V109" s="41">
        <f t="shared" si="37"/>
        <v>120.7</v>
      </c>
    </row>
    <row r="110" spans="1:22" outlineLevel="1">
      <c r="E110" s="164" t="str">
        <f t="shared" ref="E110:V110" si="38" xml:space="preserve"> E$38</f>
        <v>CPIH: Financial year average - index</v>
      </c>
      <c r="F110" s="164">
        <f t="shared" si="38"/>
        <v>0</v>
      </c>
      <c r="G110" s="164" t="str">
        <f t="shared" si="38"/>
        <v>index</v>
      </c>
      <c r="H110" s="164">
        <f t="shared" si="38"/>
        <v>0</v>
      </c>
      <c r="I110" s="164">
        <f t="shared" si="38"/>
        <v>0</v>
      </c>
      <c r="J110" s="164">
        <f t="shared" si="38"/>
        <v>96.583333333333314</v>
      </c>
      <c r="K110" s="164">
        <f t="shared" si="38"/>
        <v>98.600000000000009</v>
      </c>
      <c r="L110" s="164">
        <f t="shared" si="38"/>
        <v>99.72499999999998</v>
      </c>
      <c r="M110" s="164">
        <f t="shared" si="38"/>
        <v>100.16666666666667</v>
      </c>
      <c r="N110" s="164">
        <f t="shared" si="38"/>
        <v>101.54166666666667</v>
      </c>
      <c r="O110" s="164">
        <f t="shared" si="38"/>
        <v>104.21666666666665</v>
      </c>
      <c r="P110" s="164">
        <f t="shared" si="38"/>
        <v>106.43333333333334</v>
      </c>
      <c r="Q110" s="164">
        <f t="shared" si="38"/>
        <v>108.55833333333334</v>
      </c>
      <c r="R110" s="164">
        <f t="shared" si="38"/>
        <v>110.76666666666665</v>
      </c>
      <c r="S110" s="164">
        <f t="shared" si="38"/>
        <v>112.96666666666668</v>
      </c>
      <c r="T110" s="164">
        <f t="shared" si="38"/>
        <v>115.23333333333333</v>
      </c>
      <c r="U110" s="164">
        <f t="shared" si="38"/>
        <v>117.53333333333332</v>
      </c>
      <c r="V110" s="164">
        <f t="shared" si="38"/>
        <v>119.90000000000002</v>
      </c>
    </row>
    <row r="111" spans="1:22" s="182" customFormat="1" outlineLevel="1">
      <c r="A111" s="179"/>
      <c r="B111" s="179"/>
      <c r="C111" s="180"/>
      <c r="D111" s="181"/>
      <c r="E111" s="181" t="str">
        <f xml:space="preserve"> "CPIH deflate from " &amp; F107 &amp; " FYE to " &amp; F108 &amp; " FYA"</f>
        <v>CPIH deflate from 2020 FYE to 2018 FYA</v>
      </c>
      <c r="F111" s="181">
        <f xml:space="preserve"> INDEX($J110:$V110, 1, MATCH($F108,$J$4:$V$4)) / INDEX($J109:$V109, 1, MATCH($F107,$J$4:$V$4))</f>
        <v>0.95349191826776447</v>
      </c>
      <c r="G111" s="181" t="s">
        <v>714</v>
      </c>
      <c r="H111" s="181"/>
      <c r="I111" s="181"/>
      <c r="J111" s="181"/>
      <c r="K111" s="181"/>
      <c r="L111" s="181"/>
      <c r="M111" s="181"/>
      <c r="N111" s="181"/>
      <c r="O111" s="181"/>
      <c r="P111" s="181"/>
      <c r="Q111" s="181"/>
      <c r="R111" s="181"/>
      <c r="S111" s="181"/>
      <c r="T111" s="181"/>
      <c r="U111" s="181"/>
      <c r="V111" s="181"/>
    </row>
    <row r="112" spans="1:22" outlineLevel="1"/>
  </sheetData>
  <conditionalFormatting sqref="F1">
    <cfRule type="expression" dxfId="31" priority="3">
      <formula xml:space="preserve"> $F$1 = "Notionalised"</formula>
    </cfRule>
  </conditionalFormatting>
  <conditionalFormatting sqref="G1">
    <cfRule type="expression" dxfId="30" priority="2">
      <formula xml:space="preserve"> $F$1 = "Notionalised"</formula>
    </cfRule>
  </conditionalFormatting>
  <conditionalFormatting sqref="F2">
    <cfRule type="cellIs" dxfId="2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EA842CFA-0DC5-4422-BCDB-5DEF253B82F9}">
            <xm:f>Inputs!$F$21</xm:f>
            <x14:dxf>
              <fill>
                <patternFill>
                  <bgColor indexed="44"/>
                </patternFill>
              </fill>
            </x14:dxf>
          </x14:cfRule>
          <x14:cfRule type="cellIs" priority="5" stopIfTrue="1" operator="equal" id="{A6B8BACE-9918-465D-A81A-41F23FDB7895}">
            <xm:f>Inputs!$F$20</xm:f>
            <x14:dxf>
              <fill>
                <patternFill>
                  <bgColor indexed="47"/>
                </patternFill>
              </fill>
            </x14:dxf>
          </x14:cfRule>
          <xm:sqref>J3:V3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V229"/>
  <sheetViews>
    <sheetView showGridLines="0" defaultGridColor="0" colorId="22" zoomScale="80" zoomScaleNormal="80" workbookViewId="0">
      <pane xSplit="9" ySplit="5" topLeftCell="J7" activePane="bottomRight" state="frozen"/>
      <selection pane="bottomRight" activeCell="F31" sqref="F31"/>
      <selection pane="bottomLeft" activeCell="F2" sqref="F2"/>
      <selection pane="topRight" activeCell="F2" sqref="F2"/>
    </sheetView>
  </sheetViews>
  <sheetFormatPr defaultColWidth="0" defaultRowHeight="12.75" outlineLevelRow="1"/>
  <cols>
    <col min="1" max="1" width="32" style="10" customWidth="1"/>
    <col min="2" max="2" width="1.28515625" style="10" customWidth="1"/>
    <col min="3" max="3" width="1.28515625" style="2" customWidth="1"/>
    <col min="4" max="4" width="1.28515625" style="3" customWidth="1"/>
    <col min="5" max="5" width="93"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c r="A1" s="26" t="e">
        <f ca="1" xml:space="preserve"> RIGHT(CELL("filename", $A$1), LEN(CELL("filename", $A$1)) - SEARCH("]", CELL("filename", $A$1)))</f>
        <v>#VALUE!</v>
      </c>
      <c r="B1" s="26"/>
      <c r="C1" s="27"/>
      <c r="D1" s="1"/>
      <c r="E1" s="1"/>
      <c r="F1" s="142"/>
      <c r="G1" s="143"/>
      <c r="H1" s="139"/>
      <c r="I1" s="1"/>
      <c r="J1" s="88"/>
      <c r="K1" s="1"/>
      <c r="L1" s="1"/>
      <c r="M1" s="1"/>
      <c r="N1" s="1"/>
      <c r="O1" s="1"/>
      <c r="P1" s="1"/>
      <c r="Q1" s="1"/>
      <c r="R1" s="1"/>
      <c r="S1" s="1"/>
      <c r="T1" s="1"/>
      <c r="U1" s="1"/>
      <c r="V1" s="1"/>
    </row>
    <row r="2" spans="1:22" ht="12.75" customHeight="1">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c r="E5" s="3" t="str">
        <f xml:space="preserve"> Time!E$10</f>
        <v>Model column counter</v>
      </c>
      <c r="F5" s="29" t="s">
        <v>538</v>
      </c>
      <c r="G5" s="10" t="s">
        <v>105</v>
      </c>
      <c r="H5" s="29" t="s">
        <v>539</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c r="A7" s="39" t="s">
        <v>716</v>
      </c>
      <c r="B7" s="39"/>
      <c r="C7" s="40"/>
      <c r="D7" s="39"/>
      <c r="E7" s="39"/>
      <c r="F7" s="39"/>
      <c r="G7" s="39"/>
      <c r="H7" s="39"/>
      <c r="I7" s="39"/>
      <c r="J7" s="39"/>
      <c r="K7" s="39"/>
      <c r="L7" s="39"/>
      <c r="M7" s="39"/>
      <c r="N7" s="39"/>
      <c r="O7" s="39"/>
      <c r="P7" s="39"/>
      <c r="Q7" s="39"/>
      <c r="R7" s="39"/>
      <c r="S7" s="39"/>
      <c r="T7" s="39"/>
      <c r="U7" s="39"/>
      <c r="V7" s="39"/>
    </row>
    <row r="8" spans="1:22" ht="12.75" hidden="1" customHeight="1" outlineLevel="1">
      <c r="A8" s="5"/>
      <c r="B8" s="5"/>
      <c r="C8" s="7"/>
      <c r="E8" s="7"/>
      <c r="F8" s="4"/>
      <c r="J8" s="7"/>
      <c r="K8" s="7"/>
      <c r="L8" s="7"/>
      <c r="M8" s="7"/>
      <c r="N8" s="7"/>
      <c r="O8" s="7"/>
      <c r="P8" s="7"/>
      <c r="Q8" s="7"/>
      <c r="R8" s="7"/>
      <c r="S8" s="7"/>
      <c r="T8" s="7"/>
      <c r="U8" s="7"/>
      <c r="V8" s="7"/>
    </row>
    <row r="9" spans="1:22" ht="12.75" hidden="1" customHeight="1" outlineLevel="1">
      <c r="A9" s="5"/>
      <c r="B9" s="5"/>
      <c r="C9" s="7"/>
      <c r="D9" s="10" t="s">
        <v>523</v>
      </c>
      <c r="E9" s="7"/>
      <c r="F9" s="4"/>
      <c r="J9" s="7"/>
      <c r="K9" s="7"/>
      <c r="L9" s="7"/>
      <c r="M9" s="7"/>
      <c r="N9" s="7"/>
      <c r="O9" s="7"/>
      <c r="P9" s="7"/>
      <c r="Q9" s="7"/>
      <c r="R9" s="7"/>
      <c r="S9" s="7"/>
      <c r="T9" s="7"/>
      <c r="U9" s="7"/>
      <c r="V9" s="7"/>
    </row>
    <row r="10" spans="1:22" s="177" customFormat="1" hidden="1" outlineLevel="1">
      <c r="A10" s="165" t="str">
        <f xml:space="preserve"> Inputs!A$86</f>
        <v>C_APP27015_PD002</v>
      </c>
      <c r="B10" s="160"/>
      <c r="C10" s="161"/>
      <c r="D10" s="162"/>
      <c r="E10" s="165" t="str">
        <f xml:space="preserve"> Inputs!E$86</f>
        <v>Net performance payment / (penalty) applied to revenue for in-period ODI adjustments ~ Water resources</v>
      </c>
      <c r="F10" s="165">
        <f xml:space="preserve"> Inputs!F$86</f>
        <v>0</v>
      </c>
      <c r="G10" s="165" t="str">
        <f xml:space="preserve"> Inputs!G$86</f>
        <v>£m</v>
      </c>
      <c r="H10" s="162"/>
      <c r="I10" s="162"/>
      <c r="J10" s="162"/>
      <c r="K10" s="162"/>
      <c r="L10" s="162"/>
      <c r="M10" s="162"/>
      <c r="N10" s="162"/>
      <c r="O10" s="162"/>
      <c r="P10" s="162"/>
      <c r="Q10" s="162"/>
      <c r="R10" s="162"/>
      <c r="S10" s="162"/>
      <c r="T10" s="162"/>
      <c r="U10" s="162"/>
      <c r="V10" s="162"/>
    </row>
    <row r="11" spans="1:22" s="177" customFormat="1" hidden="1" outlineLevel="1">
      <c r="A11" s="165" t="str">
        <f xml:space="preserve"> Inputs!A$87</f>
        <v>C_APP27022_PD002</v>
      </c>
      <c r="B11" s="160"/>
      <c r="C11" s="161"/>
      <c r="D11" s="162"/>
      <c r="E11" s="165" t="str">
        <f xml:space="preserve"> Inputs!E$87</f>
        <v>Net performance payment / (penalty) applied to revenue for end of period ODI adjustments ~ Water resources</v>
      </c>
      <c r="F11" s="165">
        <f xml:space="preserve"> Inputs!F$87</f>
        <v>1.2649999999999999</v>
      </c>
      <c r="G11" s="165" t="str">
        <f xml:space="preserve"> Inputs!G$87</f>
        <v>£m</v>
      </c>
      <c r="H11" s="162"/>
      <c r="I11" s="162"/>
      <c r="J11" s="162"/>
      <c r="K11" s="162"/>
      <c r="L11" s="162"/>
      <c r="M11" s="162"/>
      <c r="N11" s="162"/>
      <c r="O11" s="162"/>
      <c r="P11" s="162"/>
      <c r="Q11" s="162"/>
      <c r="R11" s="162"/>
      <c r="S11" s="162"/>
      <c r="T11" s="162"/>
      <c r="U11" s="162"/>
      <c r="V11" s="162"/>
    </row>
    <row r="12" spans="1:22" ht="4.7" hidden="1" customHeight="1" outlineLevel="1"/>
    <row r="13" spans="1:22" s="151" customFormat="1" hidden="1" outlineLevel="1">
      <c r="A13" s="183"/>
      <c r="B13" s="183"/>
      <c r="C13" s="184"/>
      <c r="D13" s="185"/>
      <c r="E13" s="186" t="str">
        <f xml:space="preserve"> Indexation!E$82</f>
        <v>RPI inflate from 2013 FYA to 2020 FYE</v>
      </c>
      <c r="F13" s="186">
        <f xml:space="preserve"> Indexation!F$82</f>
        <v>1.206498416266476</v>
      </c>
      <c r="G13" s="186" t="str">
        <f xml:space="preserve"> Indexation!G$82</f>
        <v>factor</v>
      </c>
      <c r="H13" s="186"/>
      <c r="I13" s="186"/>
      <c r="J13" s="186"/>
      <c r="K13" s="186"/>
      <c r="L13" s="186"/>
      <c r="M13" s="186"/>
      <c r="N13" s="186"/>
      <c r="O13" s="186"/>
      <c r="P13" s="186"/>
      <c r="Q13" s="186"/>
      <c r="R13" s="186"/>
      <c r="S13" s="186"/>
      <c r="T13" s="186"/>
      <c r="U13" s="186"/>
      <c r="V13" s="186"/>
    </row>
    <row r="14" spans="1:22" ht="4.7" hidden="1" customHeight="1" outlineLevel="1"/>
    <row r="15" spans="1:22" hidden="1" outlineLevel="1">
      <c r="A15" s="3" t="s">
        <v>717</v>
      </c>
      <c r="E15" s="164" t="str">
        <f xml:space="preserve"> E10 &amp; " at 2020 FYE price base"</f>
        <v>Net performance payment / (penalty) applied to revenue for in-period ODI adjustments ~ Water resources at 2020 FYE price base</v>
      </c>
      <c r="F15" s="164">
        <f xml:space="preserve"> F10 * F$13</f>
        <v>0</v>
      </c>
      <c r="G15" s="164" t="s">
        <v>174</v>
      </c>
    </row>
    <row r="16" spans="1:22" hidden="1" outlineLevel="1">
      <c r="A16" s="3" t="s">
        <v>718</v>
      </c>
      <c r="E16" s="164" t="str">
        <f xml:space="preserve"> E11 &amp; " at 2020 FYE price base"</f>
        <v>Net performance payment / (penalty) applied to revenue for end of period ODI adjustments ~ Water resources at 2020 FYE price base</v>
      </c>
      <c r="F16" s="164">
        <f xml:space="preserve"> F11 * F$13</f>
        <v>1.526220496577092</v>
      </c>
      <c r="G16" s="164" t="s">
        <v>174</v>
      </c>
    </row>
    <row r="17" spans="1:22" hidden="1" outlineLevel="1"/>
    <row r="18" spans="1:22" s="163" customFormat="1" hidden="1" outlineLevel="1">
      <c r="A18" s="171" t="str">
        <f xml:space="preserve"> Inputs!A$88</f>
        <v>C_WS17013_PR19D007</v>
      </c>
      <c r="B18" s="149"/>
      <c r="C18" s="150"/>
      <c r="D18" s="41"/>
      <c r="E18" s="171" t="str">
        <f xml:space="preserve"> Inputs!E$88</f>
        <v>Total value of export incentive to be paid to water resources at PR19</v>
      </c>
      <c r="F18" s="171">
        <f xml:space="preserve"> Inputs!F$88</f>
        <v>0</v>
      </c>
      <c r="G18" s="171" t="str">
        <f xml:space="preserve"> Inputs!G$88</f>
        <v>£m</v>
      </c>
      <c r="H18" s="171"/>
      <c r="I18" s="171"/>
      <c r="J18" s="171"/>
      <c r="K18" s="171"/>
      <c r="L18" s="171"/>
      <c r="M18" s="171"/>
      <c r="N18" s="171"/>
      <c r="O18" s="171"/>
      <c r="P18" s="171"/>
      <c r="Q18" s="171"/>
      <c r="R18" s="171"/>
      <c r="S18" s="171"/>
      <c r="T18" s="171"/>
      <c r="U18" s="171"/>
      <c r="V18" s="171"/>
    </row>
    <row r="19" spans="1:22" s="163" customFormat="1" hidden="1" outlineLevel="1">
      <c r="A19" s="171" t="str">
        <f xml:space="preserve"> Inputs!A$89</f>
        <v>C_WS17025_PR19D007</v>
      </c>
      <c r="B19" s="149"/>
      <c r="C19" s="150"/>
      <c r="D19" s="41"/>
      <c r="E19" s="171" t="str">
        <f xml:space="preserve"> Inputs!E$89</f>
        <v>Total value of import incentive - water resources</v>
      </c>
      <c r="F19" s="171">
        <f xml:space="preserve"> Inputs!F$89</f>
        <v>0</v>
      </c>
      <c r="G19" s="171" t="str">
        <f xml:space="preserve"> Inputs!G$89</f>
        <v>£m</v>
      </c>
      <c r="H19" s="171"/>
      <c r="I19" s="171"/>
      <c r="J19" s="171"/>
      <c r="K19" s="171"/>
      <c r="L19" s="171"/>
      <c r="M19" s="171"/>
      <c r="N19" s="171"/>
      <c r="O19" s="171"/>
      <c r="P19" s="171"/>
      <c r="Q19" s="171"/>
      <c r="R19" s="171"/>
      <c r="S19" s="171"/>
      <c r="T19" s="171"/>
      <c r="U19" s="171"/>
      <c r="V19" s="171"/>
    </row>
    <row r="20" spans="1:22" ht="4.7" hidden="1" customHeight="1" outlineLevel="1"/>
    <row r="21" spans="1:22" s="151" customFormat="1" hidden="1" outlineLevel="1">
      <c r="A21" s="183"/>
      <c r="B21" s="183"/>
      <c r="C21" s="184"/>
      <c r="D21" s="185"/>
      <c r="E21" s="186" t="str">
        <f xml:space="preserve"> Indexation!E$89</f>
        <v>RPI inflate from 2018 FYA to 2020 FYE</v>
      </c>
      <c r="F21" s="186">
        <f xml:space="preserve"> Indexation!F$89</f>
        <v>1.0738124829488616</v>
      </c>
      <c r="G21" s="186" t="str">
        <f xml:space="preserve"> Indexation!G$89</f>
        <v>factor</v>
      </c>
      <c r="H21" s="186"/>
    </row>
    <row r="22" spans="1:22" ht="4.7" hidden="1" customHeight="1" outlineLevel="1"/>
    <row r="23" spans="1:22" s="41" customFormat="1" hidden="1" outlineLevel="1">
      <c r="A23" s="41" t="s">
        <v>719</v>
      </c>
      <c r="B23" s="149"/>
      <c r="C23" s="150"/>
      <c r="E23" s="41" t="s">
        <v>720</v>
      </c>
      <c r="F23" s="41">
        <f xml:space="preserve"> F18 * F$21</f>
        <v>0</v>
      </c>
      <c r="G23" s="41" t="s">
        <v>174</v>
      </c>
    </row>
    <row r="24" spans="1:22" s="41" customFormat="1" hidden="1" outlineLevel="1">
      <c r="A24" s="41" t="s">
        <v>721</v>
      </c>
      <c r="B24" s="149"/>
      <c r="C24" s="150"/>
      <c r="E24" s="41" t="s">
        <v>722</v>
      </c>
      <c r="F24" s="41">
        <f xml:space="preserve"> F19 * F$21</f>
        <v>0</v>
      </c>
      <c r="G24" s="41" t="s">
        <v>174</v>
      </c>
    </row>
    <row r="25" spans="1:22" hidden="1" outlineLevel="1"/>
    <row r="26" spans="1:22" hidden="1" outlineLevel="1">
      <c r="B26" s="10" t="s">
        <v>609</v>
      </c>
    </row>
    <row r="27" spans="1:22" s="177" customFormat="1" hidden="1" outlineLevel="1">
      <c r="A27" s="165" t="str">
        <f xml:space="preserve"> Inputs!A$92</f>
        <v>C00578_L021</v>
      </c>
      <c r="B27" s="160"/>
      <c r="C27" s="161"/>
      <c r="D27" s="162"/>
      <c r="E27" s="165" t="str">
        <f xml:space="preserve"> Inputs!E$92</f>
        <v>Further 2010-15 reconciliation total adjustment carry forward to PR19 ~ Water network plus</v>
      </c>
      <c r="F27" s="367">
        <f xml:space="preserve"> Inputs!F$92</f>
        <v>0.86864405982997595</v>
      </c>
      <c r="G27" s="165" t="str">
        <f xml:space="preserve"> Inputs!G$92</f>
        <v>£m</v>
      </c>
      <c r="H27" s="162"/>
      <c r="I27" s="162"/>
      <c r="J27" s="162"/>
      <c r="K27" s="162"/>
      <c r="L27" s="162"/>
      <c r="M27" s="162"/>
      <c r="N27" s="162"/>
      <c r="O27" s="162"/>
      <c r="P27" s="162"/>
      <c r="Q27" s="162"/>
      <c r="R27" s="162"/>
      <c r="S27" s="162"/>
      <c r="T27" s="162"/>
      <c r="U27" s="162"/>
      <c r="V27" s="162"/>
    </row>
    <row r="28" spans="1:22" s="177" customFormat="1" hidden="1" outlineLevel="1">
      <c r="A28" s="165" t="str">
        <f xml:space="preserve"> Inputs!A$93</f>
        <v>C_APP27016_PD002</v>
      </c>
      <c r="B28" s="160"/>
      <c r="C28" s="161"/>
      <c r="D28" s="162"/>
      <c r="E28" s="165" t="str">
        <f xml:space="preserve"> Inputs!E$93</f>
        <v>Net performance payment / (penalty) applied to revenue for in-period ODI adjustments ~ Water network plus</v>
      </c>
      <c r="F28" s="165">
        <f xml:space="preserve"> Inputs!F$93</f>
        <v>0</v>
      </c>
      <c r="G28" s="165" t="str">
        <f xml:space="preserve"> Inputs!G$93</f>
        <v>£m</v>
      </c>
      <c r="H28" s="162"/>
      <c r="I28" s="162"/>
      <c r="J28" s="162"/>
      <c r="K28" s="162"/>
      <c r="L28" s="162"/>
      <c r="M28" s="162"/>
      <c r="N28" s="162"/>
      <c r="O28" s="162"/>
      <c r="P28" s="162"/>
      <c r="Q28" s="162"/>
      <c r="R28" s="162"/>
      <c r="S28" s="162"/>
      <c r="T28" s="162"/>
      <c r="U28" s="162"/>
      <c r="V28" s="162"/>
    </row>
    <row r="29" spans="1:22" s="177" customFormat="1" hidden="1" outlineLevel="1">
      <c r="A29" s="165" t="str">
        <f xml:space="preserve"> Inputs!A$94</f>
        <v>C_APP27023_PD002</v>
      </c>
      <c r="B29" s="160"/>
      <c r="C29" s="161"/>
      <c r="D29" s="162"/>
      <c r="E29" s="165" t="str">
        <f xml:space="preserve"> Inputs!E$94</f>
        <v>Net performance payment / (penalty) applied to revenue for end of period ODI adjustments ~ Water network plus</v>
      </c>
      <c r="F29" s="165">
        <f xml:space="preserve"> Inputs!F$94</f>
        <v>-12.911</v>
      </c>
      <c r="G29" s="165" t="str">
        <f xml:space="preserve"> Inputs!G$94</f>
        <v>£m</v>
      </c>
      <c r="H29" s="162"/>
      <c r="I29" s="162"/>
      <c r="J29" s="162"/>
      <c r="K29" s="162"/>
      <c r="L29" s="162"/>
      <c r="M29" s="162"/>
      <c r="N29" s="162"/>
      <c r="O29" s="162"/>
      <c r="P29" s="162"/>
      <c r="Q29" s="162"/>
      <c r="R29" s="162"/>
      <c r="S29" s="162"/>
      <c r="T29" s="162"/>
      <c r="U29" s="162"/>
      <c r="V29" s="162"/>
    </row>
    <row r="30" spans="1:22" s="177" customFormat="1" hidden="1" outlineLevel="1">
      <c r="A30" s="165" t="str">
        <f xml:space="preserve"> Inputs!A$95</f>
        <v>C_WS15024_PR19PD006</v>
      </c>
      <c r="B30" s="160"/>
      <c r="C30" s="161"/>
      <c r="D30" s="162"/>
      <c r="E30" s="165" t="str">
        <f xml:space="preserve"> Inputs!E$95</f>
        <v>Water: revenue adjustment from totex menu model</v>
      </c>
      <c r="F30" s="165">
        <f xml:space="preserve"> Inputs!F$95</f>
        <v>-7.1999999999999995E-2</v>
      </c>
      <c r="G30" s="165" t="str">
        <f xml:space="preserve"> Inputs!G$95</f>
        <v>£m</v>
      </c>
      <c r="H30" s="162"/>
      <c r="I30" s="162"/>
      <c r="J30" s="162"/>
      <c r="K30" s="162"/>
      <c r="L30" s="162"/>
      <c r="M30" s="162"/>
      <c r="N30" s="162"/>
      <c r="O30" s="162"/>
      <c r="P30" s="162"/>
      <c r="Q30" s="162"/>
      <c r="R30" s="162"/>
      <c r="S30" s="162"/>
      <c r="T30" s="162"/>
      <c r="U30" s="162"/>
      <c r="V30" s="162"/>
    </row>
    <row r="31" spans="1:22" ht="4.7" hidden="1" customHeight="1" outlineLevel="1"/>
    <row r="32" spans="1:22" s="151" customFormat="1" hidden="1" outlineLevel="1">
      <c r="A32" s="183"/>
      <c r="B32" s="183"/>
      <c r="C32" s="184"/>
      <c r="D32" s="185"/>
      <c r="E32" s="186" t="str">
        <f xml:space="preserve"> Indexation!E$82</f>
        <v>RPI inflate from 2013 FYA to 2020 FYE</v>
      </c>
      <c r="F32" s="368">
        <f xml:space="preserve"> Indexation!F$82</f>
        <v>1.206498416266476</v>
      </c>
      <c r="G32" s="186" t="str">
        <f xml:space="preserve"> Indexation!G$82</f>
        <v>factor</v>
      </c>
      <c r="H32" s="186"/>
      <c r="I32" s="186"/>
      <c r="J32" s="186"/>
      <c r="K32" s="186"/>
      <c r="L32" s="186"/>
      <c r="M32" s="186"/>
      <c r="N32" s="186"/>
      <c r="O32" s="186"/>
      <c r="P32" s="186"/>
      <c r="Q32" s="186"/>
      <c r="R32" s="186"/>
      <c r="S32" s="186"/>
      <c r="T32" s="186"/>
      <c r="U32" s="186"/>
      <c r="V32" s="186"/>
    </row>
    <row r="33" spans="1:22" ht="4.7" hidden="1" customHeight="1" outlineLevel="1"/>
    <row r="34" spans="1:22" s="3" customFormat="1" hidden="1" outlineLevel="1">
      <c r="A34" s="3" t="s">
        <v>723</v>
      </c>
      <c r="B34" s="10"/>
      <c r="C34" s="2"/>
      <c r="E34" s="164" t="str">
        <f xml:space="preserve"> E27 &amp; " at 2020 FYE price base"</f>
        <v>Further 2010-15 reconciliation total adjustment carry forward to PR19 ~ Water network plus at 2020 FYE price base</v>
      </c>
      <c r="F34" s="366">
        <f xml:space="preserve"> F27 * F$32</f>
        <v>1.0480176824841481</v>
      </c>
      <c r="G34" s="164" t="s">
        <v>174</v>
      </c>
    </row>
    <row r="35" spans="1:22" hidden="1" outlineLevel="1">
      <c r="A35" s="3" t="s">
        <v>724</v>
      </c>
      <c r="E35" s="164" t="str">
        <f xml:space="preserve"> E28 &amp; " at 2020 FYE price base"</f>
        <v>Net performance payment / (penalty) applied to revenue for in-period ODI adjustments ~ Water network plus at 2020 FYE price base</v>
      </c>
      <c r="F35" s="164">
        <f xml:space="preserve"> F28 * F$32</f>
        <v>0</v>
      </c>
      <c r="G35" s="164" t="s">
        <v>174</v>
      </c>
    </row>
    <row r="36" spans="1:22" hidden="1" outlineLevel="1">
      <c r="A36" s="3" t="s">
        <v>725</v>
      </c>
      <c r="E36" s="164" t="str">
        <f xml:space="preserve"> E29 &amp; " at 2020 FYE price base"</f>
        <v>Net performance payment / (penalty) applied to revenue for end of period ODI adjustments ~ Water network plus at 2020 FYE price base</v>
      </c>
      <c r="F36" s="164">
        <f xml:space="preserve"> F29 * F$32</f>
        <v>-15.577101052416472</v>
      </c>
      <c r="G36" s="164" t="s">
        <v>174</v>
      </c>
    </row>
    <row r="37" spans="1:22" hidden="1" outlineLevel="1">
      <c r="A37" s="3" t="s">
        <v>726</v>
      </c>
      <c r="E37" s="164" t="str">
        <f xml:space="preserve"> "Totex menu revenue adjustment ~ Water network plus " &amp; " at 2020 FYE price base"</f>
        <v>Totex menu revenue adjustment ~ Water network plus  at 2020 FYE price base</v>
      </c>
      <c r="F37" s="164">
        <f xml:space="preserve"> F30 * F$32</f>
        <v>-8.6867885971186262E-2</v>
      </c>
      <c r="G37" s="164" t="s">
        <v>174</v>
      </c>
    </row>
    <row r="38" spans="1:22" hidden="1" outlineLevel="1"/>
    <row r="39" spans="1:22" s="163" customFormat="1" hidden="1" outlineLevel="1">
      <c r="A39" s="171" t="str">
        <f xml:space="preserve"> Inputs!A$96</f>
        <v>C_WS17014_PR19D007</v>
      </c>
      <c r="B39" s="149"/>
      <c r="C39" s="150"/>
      <c r="D39" s="41"/>
      <c r="E39" s="171" t="str">
        <f xml:space="preserve"> Inputs!E$96</f>
        <v>Total value of export incentive to be paid to water network plus at PR19</v>
      </c>
      <c r="F39" s="171">
        <f xml:space="preserve"> Inputs!F$96</f>
        <v>0</v>
      </c>
      <c r="G39" s="171" t="str">
        <f xml:space="preserve"> Inputs!G$96</f>
        <v>£m</v>
      </c>
      <c r="H39" s="171"/>
      <c r="I39" s="171"/>
      <c r="J39" s="171"/>
      <c r="K39" s="171"/>
      <c r="L39" s="171"/>
      <c r="M39" s="171"/>
      <c r="N39" s="171"/>
      <c r="O39" s="171"/>
      <c r="P39" s="171"/>
      <c r="Q39" s="171"/>
      <c r="R39" s="171"/>
      <c r="S39" s="171"/>
      <c r="T39" s="171"/>
      <c r="U39" s="171"/>
      <c r="V39" s="171"/>
    </row>
    <row r="40" spans="1:22" s="163" customFormat="1" hidden="1" outlineLevel="1">
      <c r="A40" s="171" t="str">
        <f xml:space="preserve"> Inputs!A$97</f>
        <v>C_WS17026_PR19D007</v>
      </c>
      <c r="B40" s="149"/>
      <c r="C40" s="150"/>
      <c r="D40" s="41"/>
      <c r="E40" s="171" t="str">
        <f xml:space="preserve"> Inputs!E$97</f>
        <v>Total value of import incentive - water network plus</v>
      </c>
      <c r="F40" s="171">
        <f xml:space="preserve"> Inputs!F$97</f>
        <v>0</v>
      </c>
      <c r="G40" s="171" t="str">
        <f xml:space="preserve"> Inputs!G$97</f>
        <v>£m</v>
      </c>
      <c r="H40" s="171"/>
      <c r="I40" s="171"/>
      <c r="J40" s="171"/>
      <c r="K40" s="171"/>
      <c r="L40" s="171"/>
      <c r="M40" s="171"/>
      <c r="N40" s="171"/>
      <c r="O40" s="171"/>
      <c r="P40" s="171"/>
      <c r="Q40" s="171"/>
      <c r="R40" s="171"/>
      <c r="S40" s="171"/>
      <c r="T40" s="171"/>
      <c r="U40" s="171"/>
      <c r="V40" s="171"/>
    </row>
    <row r="41" spans="1:22" s="163" customFormat="1" hidden="1" outlineLevel="1">
      <c r="A41" s="171" t="str">
        <f xml:space="preserve"> Inputs!A$98</f>
        <v>C_WS13026_PR19PD005</v>
      </c>
      <c r="B41" s="149"/>
      <c r="C41" s="150"/>
      <c r="D41" s="41"/>
      <c r="E41" s="171" t="str">
        <f xml:space="preserve"> Inputs!E$98</f>
        <v>WRFIM total reward / (penalty) at end of AMP6 ~ Water</v>
      </c>
      <c r="F41" s="171">
        <f xml:space="preserve"> Inputs!F$98</f>
        <v>10.090999999999999</v>
      </c>
      <c r="G41" s="171" t="str">
        <f xml:space="preserve"> Inputs!G$98</f>
        <v>£m</v>
      </c>
      <c r="H41" s="171"/>
      <c r="I41" s="171"/>
      <c r="J41" s="171"/>
      <c r="K41" s="171"/>
      <c r="L41" s="171"/>
      <c r="M41" s="171"/>
      <c r="N41" s="171"/>
      <c r="O41" s="171"/>
      <c r="P41" s="171"/>
      <c r="Q41" s="171"/>
      <c r="R41" s="171"/>
      <c r="S41" s="171"/>
      <c r="T41" s="171"/>
      <c r="U41" s="171"/>
      <c r="V41" s="171"/>
    </row>
    <row r="42" spans="1:22" ht="4.1500000000000004" hidden="1" customHeight="1" outlineLevel="1"/>
    <row r="43" spans="1:22" s="151" customFormat="1" hidden="1" outlineLevel="1">
      <c r="A43" s="183"/>
      <c r="B43" s="183"/>
      <c r="C43" s="184"/>
      <c r="D43" s="185"/>
      <c r="E43" s="186" t="str">
        <f xml:space="preserve"> Indexation!E$89</f>
        <v>RPI inflate from 2018 FYA to 2020 FYE</v>
      </c>
      <c r="F43" s="186">
        <f xml:space="preserve"> Indexation!F$89</f>
        <v>1.0738124829488616</v>
      </c>
      <c r="G43" s="186" t="str">
        <f xml:space="preserve"> Indexation!G$89</f>
        <v>factor</v>
      </c>
      <c r="H43" s="186"/>
    </row>
    <row r="44" spans="1:22" s="151" customFormat="1" hidden="1" outlineLevel="1">
      <c r="A44" s="183"/>
      <c r="B44" s="183"/>
      <c r="C44" s="184"/>
      <c r="D44" s="185"/>
      <c r="E44" s="186" t="str">
        <f xml:space="preserve"> Indexation!E$102</f>
        <v>RPI inflate from November 2019 FYE to 2020 FYE</v>
      </c>
      <c r="F44" s="186">
        <f xml:space="preserve"> Indexation!F$102</f>
        <v>1.0372452565003512</v>
      </c>
      <c r="G44" s="186" t="str">
        <f xml:space="preserve"> Indexation!G$102</f>
        <v>factor</v>
      </c>
      <c r="H44" s="186"/>
    </row>
    <row r="45" spans="1:22" ht="4.7" hidden="1" customHeight="1" outlineLevel="1"/>
    <row r="46" spans="1:22" s="41" customFormat="1" hidden="1" outlineLevel="1">
      <c r="A46" s="41" t="s">
        <v>727</v>
      </c>
      <c r="B46" s="149"/>
      <c r="C46" s="150"/>
      <c r="E46" s="41" t="s">
        <v>728</v>
      </c>
      <c r="F46" s="41">
        <f xml:space="preserve"> F39 * F$43</f>
        <v>0</v>
      </c>
      <c r="G46" s="41" t="s">
        <v>174</v>
      </c>
    </row>
    <row r="47" spans="1:22" s="41" customFormat="1" hidden="1" outlineLevel="1">
      <c r="A47" s="41" t="s">
        <v>729</v>
      </c>
      <c r="B47" s="149"/>
      <c r="C47" s="150"/>
      <c r="E47" s="41" t="s">
        <v>730</v>
      </c>
      <c r="F47" s="41">
        <f xml:space="preserve"> F40 * F$43</f>
        <v>0</v>
      </c>
      <c r="G47" s="41" t="s">
        <v>174</v>
      </c>
    </row>
    <row r="48" spans="1:22" s="3" customFormat="1" hidden="1" outlineLevel="1">
      <c r="A48" s="3" t="s">
        <v>731</v>
      </c>
      <c r="B48" s="10"/>
      <c r="C48" s="2"/>
      <c r="E48" s="41" t="s">
        <v>732</v>
      </c>
      <c r="F48" s="41">
        <f xml:space="preserve"> F41 * F$44</f>
        <v>10.466841883345042</v>
      </c>
      <c r="G48" s="41" t="s">
        <v>174</v>
      </c>
    </row>
    <row r="49" spans="1:22" hidden="1" outlineLevel="1"/>
    <row r="51" spans="1:22" ht="12.75" customHeight="1" collapsed="1">
      <c r="A51" s="39" t="s">
        <v>733</v>
      </c>
      <c r="B51" s="39"/>
      <c r="C51" s="40"/>
      <c r="D51" s="39"/>
      <c r="E51" s="39"/>
      <c r="F51" s="39"/>
      <c r="G51" s="39"/>
      <c r="H51" s="39"/>
      <c r="I51" s="39"/>
      <c r="J51" s="39"/>
      <c r="K51" s="39"/>
      <c r="L51" s="39"/>
      <c r="M51" s="39"/>
      <c r="N51" s="39"/>
      <c r="O51" s="39"/>
      <c r="P51" s="39"/>
      <c r="Q51" s="39"/>
      <c r="R51" s="39"/>
      <c r="S51" s="39"/>
      <c r="T51" s="39"/>
      <c r="U51" s="39"/>
      <c r="V51" s="39"/>
    </row>
    <row r="52" spans="1:22" hidden="1" outlineLevel="1">
      <c r="E52" s="165"/>
      <c r="F52" s="165"/>
      <c r="G52" s="165"/>
    </row>
    <row r="53" spans="1:22" hidden="1" outlineLevel="1">
      <c r="B53" s="10" t="s">
        <v>616</v>
      </c>
    </row>
    <row r="54" spans="1:22" hidden="1" outlineLevel="1">
      <c r="A54" s="171" t="str">
        <f xml:space="preserve"> Inputs!A$103</f>
        <v>C_APP27018_PD002</v>
      </c>
      <c r="D54" s="17"/>
      <c r="E54" s="171" t="str">
        <f xml:space="preserve"> Inputs!E$103</f>
        <v>Net performance payment / (penalty) applied to revenue for in-period ODI adjustments ~ Bioresources</v>
      </c>
      <c r="F54" s="171">
        <f xml:space="preserve"> Inputs!F$103</f>
        <v>0</v>
      </c>
      <c r="G54" s="171" t="str">
        <f xml:space="preserve"> Inputs!G$103</f>
        <v>£m</v>
      </c>
    </row>
    <row r="55" spans="1:22" s="191" customFormat="1" hidden="1" outlineLevel="1">
      <c r="A55" s="171" t="str">
        <f xml:space="preserve"> Inputs!A$104</f>
        <v>C_APP27025_PD002</v>
      </c>
      <c r="B55" s="266"/>
      <c r="C55" s="267"/>
      <c r="E55" s="171" t="str">
        <f xml:space="preserve"> Inputs!E$104</f>
        <v>Net performance payment / (penalty) applied to revenue for end of period ODI adjustments ~ Bioresources</v>
      </c>
      <c r="F55" s="171">
        <f xml:space="preserve"> Inputs!F$104</f>
        <v>0</v>
      </c>
      <c r="G55" s="171" t="str">
        <f xml:space="preserve"> Inputs!G$104</f>
        <v>£m</v>
      </c>
    </row>
    <row r="56" spans="1:22" ht="4.7" hidden="1" customHeight="1" outlineLevel="1"/>
    <row r="57" spans="1:22" s="151" customFormat="1" hidden="1" outlineLevel="1">
      <c r="A57" s="183"/>
      <c r="B57" s="183"/>
      <c r="C57" s="184"/>
      <c r="D57" s="185"/>
      <c r="E57" s="186" t="str">
        <f xml:space="preserve"> Indexation!E$82</f>
        <v>RPI inflate from 2013 FYA to 2020 FYE</v>
      </c>
      <c r="F57" s="186">
        <f xml:space="preserve"> Indexation!F$82</f>
        <v>1.206498416266476</v>
      </c>
      <c r="G57" s="186" t="str">
        <f xml:space="preserve"> Indexation!G$82</f>
        <v>factor</v>
      </c>
      <c r="H57" s="186"/>
      <c r="I57" s="186"/>
      <c r="J57" s="186"/>
      <c r="K57" s="186"/>
      <c r="L57" s="186"/>
      <c r="M57" s="186"/>
      <c r="N57" s="186"/>
      <c r="O57" s="186"/>
      <c r="P57" s="186"/>
      <c r="Q57" s="186"/>
      <c r="R57" s="186"/>
      <c r="S57" s="186"/>
      <c r="T57" s="186"/>
      <c r="U57" s="186"/>
      <c r="V57" s="186"/>
    </row>
    <row r="58" spans="1:22" ht="4.7" hidden="1" customHeight="1" outlineLevel="1"/>
    <row r="59" spans="1:22" s="3" customFormat="1" hidden="1" outlineLevel="1">
      <c r="A59" s="3" t="s">
        <v>734</v>
      </c>
      <c r="B59" s="10"/>
      <c r="C59" s="2"/>
      <c r="E59" s="164" t="str">
        <f xml:space="preserve"> E54 &amp; " at 2020 FYE price base"</f>
        <v>Net performance payment / (penalty) applied to revenue for in-period ODI adjustments ~ Bioresources at 2020 FYE price base</v>
      </c>
      <c r="F59" s="164">
        <f xml:space="preserve"> F54 * F$57</f>
        <v>0</v>
      </c>
      <c r="G59" s="164" t="s">
        <v>174</v>
      </c>
    </row>
    <row r="60" spans="1:22" s="3" customFormat="1" hidden="1" outlineLevel="1">
      <c r="A60" s="3" t="s">
        <v>735</v>
      </c>
      <c r="B60" s="10"/>
      <c r="C60" s="2"/>
      <c r="E60" s="164" t="str">
        <f xml:space="preserve"> E55 &amp; " at 2020 FYE price base"</f>
        <v>Net performance payment / (penalty) applied to revenue for end of period ODI adjustments ~ Bioresources at 2020 FYE price base</v>
      </c>
      <c r="F60" s="164">
        <f xml:space="preserve"> F55 * F$57</f>
        <v>0</v>
      </c>
      <c r="G60" s="164" t="s">
        <v>174</v>
      </c>
    </row>
    <row r="61" spans="1:22" hidden="1" outlineLevel="1"/>
    <row r="62" spans="1:22" hidden="1" outlineLevel="1">
      <c r="B62" s="10" t="s">
        <v>617</v>
      </c>
    </row>
    <row r="63" spans="1:22" s="192" customFormat="1" hidden="1" outlineLevel="1">
      <c r="A63" s="171" t="str">
        <f xml:space="preserve"> Inputs!A$107</f>
        <v>C00585_L021</v>
      </c>
      <c r="B63" s="154"/>
      <c r="C63" s="155"/>
      <c r="D63" s="152"/>
      <c r="E63" s="171" t="str">
        <f xml:space="preserve"> Inputs!E$107</f>
        <v>Further 2010-15 reconciliation total adjustment carry forward to PR19 ~ Wastewater network plus</v>
      </c>
      <c r="F63" s="171">
        <f xml:space="preserve"> Inputs!F$107</f>
        <v>0</v>
      </c>
      <c r="G63" s="171" t="str">
        <f xml:space="preserve"> Inputs!G$107</f>
        <v>£m</v>
      </c>
      <c r="H63" s="152"/>
      <c r="I63" s="152"/>
      <c r="J63" s="152"/>
      <c r="K63" s="152"/>
      <c r="L63" s="152"/>
      <c r="M63" s="152"/>
      <c r="N63" s="152"/>
      <c r="O63" s="152"/>
      <c r="P63" s="152"/>
      <c r="Q63" s="152"/>
      <c r="R63" s="152"/>
      <c r="S63" s="152"/>
      <c r="T63" s="152"/>
      <c r="U63" s="152"/>
      <c r="V63" s="152"/>
    </row>
    <row r="64" spans="1:22" s="192" customFormat="1" hidden="1" outlineLevel="1">
      <c r="A64" s="171" t="str">
        <f xml:space="preserve"> Inputs!A$108</f>
        <v>C_APP27017_PD002</v>
      </c>
      <c r="B64" s="154"/>
      <c r="C64" s="155"/>
      <c r="D64" s="152"/>
      <c r="E64" s="171" t="str">
        <f xml:space="preserve"> Inputs!E$108</f>
        <v>Net performance payment / (penalty) applied to revenue for in-period ODI adjustments ~ Wastewater network plus</v>
      </c>
      <c r="F64" s="171">
        <f xml:space="preserve"> Inputs!F$108</f>
        <v>0</v>
      </c>
      <c r="G64" s="171" t="str">
        <f xml:space="preserve"> Inputs!G$108</f>
        <v>£m</v>
      </c>
      <c r="H64" s="152"/>
      <c r="I64" s="152"/>
      <c r="J64" s="152"/>
      <c r="K64" s="152"/>
      <c r="L64" s="152"/>
      <c r="M64" s="152"/>
      <c r="N64" s="152"/>
      <c r="O64" s="152"/>
      <c r="P64" s="152"/>
      <c r="Q64" s="152"/>
      <c r="R64" s="152"/>
      <c r="S64" s="152"/>
      <c r="T64" s="152"/>
      <c r="U64" s="152"/>
      <c r="V64" s="152"/>
    </row>
    <row r="65" spans="1:22" s="192" customFormat="1" hidden="1" outlineLevel="1">
      <c r="A65" s="171" t="str">
        <f xml:space="preserve"> Inputs!A$109</f>
        <v>C_APP27024_PD002</v>
      </c>
      <c r="B65" s="154"/>
      <c r="C65" s="155"/>
      <c r="D65" s="152"/>
      <c r="E65" s="171" t="str">
        <f xml:space="preserve"> Inputs!E$109</f>
        <v>Net performance payment / (penalty) applied to revenue for end of period ODI adjustments ~ Wastewater network plus</v>
      </c>
      <c r="F65" s="171">
        <f xml:space="preserve"> Inputs!F$109</f>
        <v>0</v>
      </c>
      <c r="G65" s="171" t="str">
        <f xml:space="preserve"> Inputs!G$109</f>
        <v>£m</v>
      </c>
      <c r="H65" s="152"/>
      <c r="I65" s="152"/>
      <c r="J65" s="152"/>
      <c r="K65" s="152"/>
      <c r="L65" s="152"/>
      <c r="M65" s="152"/>
      <c r="N65" s="152"/>
      <c r="O65" s="152"/>
      <c r="P65" s="152"/>
      <c r="Q65" s="152"/>
      <c r="R65" s="152"/>
      <c r="S65" s="152"/>
      <c r="T65" s="152"/>
      <c r="U65" s="152"/>
      <c r="V65" s="152"/>
    </row>
    <row r="66" spans="1:22" s="192" customFormat="1" hidden="1" outlineLevel="1">
      <c r="A66" s="171" t="str">
        <f xml:space="preserve"> Inputs!A$110</f>
        <v>C_WWS15019_PR19PD006</v>
      </c>
      <c r="B66" s="154"/>
      <c r="C66" s="155"/>
      <c r="D66" s="152"/>
      <c r="E66" s="171" t="str">
        <f xml:space="preserve"> Inputs!E$110</f>
        <v>Wastewater: revenue adjustment from totex menu model</v>
      </c>
      <c r="F66" s="171">
        <f xml:space="preserve"> Inputs!F$110</f>
        <v>0</v>
      </c>
      <c r="G66" s="171" t="str">
        <f xml:space="preserve"> Inputs!G$110</f>
        <v>£m</v>
      </c>
      <c r="H66" s="152"/>
      <c r="I66" s="152"/>
      <c r="J66" s="152"/>
      <c r="K66" s="152"/>
      <c r="L66" s="152"/>
      <c r="M66" s="152"/>
      <c r="N66" s="152"/>
      <c r="O66" s="152"/>
      <c r="P66" s="152"/>
      <c r="Q66" s="152"/>
      <c r="R66" s="152"/>
      <c r="S66" s="152"/>
      <c r="T66" s="152"/>
      <c r="U66" s="152"/>
      <c r="V66" s="152"/>
    </row>
    <row r="67" spans="1:22" ht="4.7" hidden="1" customHeight="1" outlineLevel="1"/>
    <row r="68" spans="1:22" s="151" customFormat="1" hidden="1" outlineLevel="1">
      <c r="A68" s="183"/>
      <c r="B68" s="183"/>
      <c r="C68" s="184"/>
      <c r="D68" s="185"/>
      <c r="E68" s="186" t="str">
        <f xml:space="preserve"> Indexation!E$82</f>
        <v>RPI inflate from 2013 FYA to 2020 FYE</v>
      </c>
      <c r="F68" s="186">
        <f xml:space="preserve"> Indexation!F$82</f>
        <v>1.206498416266476</v>
      </c>
      <c r="G68" s="186" t="str">
        <f xml:space="preserve"> Indexation!G$82</f>
        <v>factor</v>
      </c>
      <c r="H68" s="186"/>
      <c r="I68" s="186"/>
      <c r="J68" s="186"/>
      <c r="K68" s="186"/>
      <c r="L68" s="186"/>
      <c r="M68" s="186"/>
      <c r="N68" s="186"/>
      <c r="O68" s="186"/>
      <c r="P68" s="186"/>
      <c r="Q68" s="186"/>
      <c r="R68" s="186"/>
      <c r="S68" s="186"/>
      <c r="T68" s="186"/>
      <c r="U68" s="186"/>
      <c r="V68" s="186"/>
    </row>
    <row r="69" spans="1:22" ht="4.7" hidden="1" customHeight="1" outlineLevel="1"/>
    <row r="70" spans="1:22" s="3" customFormat="1" hidden="1" outlineLevel="1">
      <c r="A70" s="3" t="s">
        <v>736</v>
      </c>
      <c r="B70" s="10"/>
      <c r="C70" s="2"/>
      <c r="E70" s="164" t="str">
        <f xml:space="preserve"> E63 &amp; " at 2020 FYE price base"</f>
        <v>Further 2010-15 reconciliation total adjustment carry forward to PR19 ~ Wastewater network plus at 2020 FYE price base</v>
      </c>
      <c r="F70" s="164">
        <f xml:space="preserve"> F63 * F$68</f>
        <v>0</v>
      </c>
      <c r="G70" s="164" t="s">
        <v>174</v>
      </c>
    </row>
    <row r="71" spans="1:22" hidden="1" outlineLevel="1">
      <c r="A71" s="3" t="s">
        <v>737</v>
      </c>
      <c r="E71" s="164" t="str">
        <f xml:space="preserve"> E64 &amp; " at 2020 FYE price base"</f>
        <v>Net performance payment / (penalty) applied to revenue for in-period ODI adjustments ~ Wastewater network plus at 2020 FYE price base</v>
      </c>
      <c r="F71" s="164">
        <f xml:space="preserve"> F64 * F$68</f>
        <v>0</v>
      </c>
      <c r="G71" s="164" t="s">
        <v>174</v>
      </c>
    </row>
    <row r="72" spans="1:22" hidden="1" outlineLevel="1">
      <c r="A72" s="3" t="s">
        <v>738</v>
      </c>
      <c r="E72" s="164" t="str">
        <f xml:space="preserve"> E65 &amp; " at 2020 FYE price base"</f>
        <v>Net performance payment / (penalty) applied to revenue for end of period ODI adjustments ~ Wastewater network plus at 2020 FYE price base</v>
      </c>
      <c r="F72" s="164">
        <f xml:space="preserve"> F65 * F$68</f>
        <v>0</v>
      </c>
      <c r="G72" s="164" t="s">
        <v>174</v>
      </c>
    </row>
    <row r="73" spans="1:22" hidden="1" outlineLevel="1">
      <c r="A73" s="3" t="s">
        <v>739</v>
      </c>
      <c r="E73" s="164" t="str">
        <f xml:space="preserve"> E66 &amp; " at 2020 FYE price base"</f>
        <v>Wastewater: revenue adjustment from totex menu model at 2020 FYE price base</v>
      </c>
      <c r="F73" s="164">
        <f xml:space="preserve"> F66 * F$68</f>
        <v>0</v>
      </c>
      <c r="G73" s="164" t="s">
        <v>174</v>
      </c>
    </row>
    <row r="74" spans="1:22" hidden="1" outlineLevel="1"/>
    <row r="75" spans="1:22" s="163" customFormat="1" hidden="1" outlineLevel="1">
      <c r="A75" s="171" t="str">
        <f xml:space="preserve"> Inputs!A$111</f>
        <v>C_WWS13026_PR19PD005</v>
      </c>
      <c r="B75" s="149"/>
      <c r="C75" s="150"/>
      <c r="D75" s="41"/>
      <c r="E75" s="171" t="str">
        <f xml:space="preserve"> Inputs!E$111</f>
        <v>WRFIM total reward / (penalty) at the end of AMP6 ~ Wastewater</v>
      </c>
      <c r="F75" s="171">
        <f xml:space="preserve"> Inputs!F$111</f>
        <v>0</v>
      </c>
      <c r="G75" s="171" t="str">
        <f xml:space="preserve"> Inputs!G$111</f>
        <v>£m</v>
      </c>
      <c r="H75" s="171"/>
      <c r="I75" s="171"/>
      <c r="J75" s="171"/>
      <c r="K75" s="171"/>
      <c r="L75" s="171"/>
      <c r="M75" s="171"/>
      <c r="N75" s="171"/>
      <c r="O75" s="171"/>
      <c r="P75" s="171"/>
      <c r="Q75" s="171"/>
      <c r="R75" s="171"/>
      <c r="S75" s="171"/>
      <c r="T75" s="171"/>
      <c r="U75" s="171"/>
      <c r="V75" s="171"/>
    </row>
    <row r="76" spans="1:22" s="151" customFormat="1" hidden="1" outlineLevel="1">
      <c r="A76" s="183"/>
      <c r="B76" s="183"/>
      <c r="C76" s="184"/>
      <c r="D76" s="185"/>
      <c r="E76" s="186" t="str">
        <f xml:space="preserve"> Indexation!E$102</f>
        <v>RPI inflate from November 2019 FYE to 2020 FYE</v>
      </c>
      <c r="F76" s="186">
        <f xml:space="preserve"> Indexation!F$102</f>
        <v>1.0372452565003512</v>
      </c>
      <c r="G76" s="186" t="str">
        <f xml:space="preserve"> Indexation!G$102</f>
        <v>factor</v>
      </c>
      <c r="H76" s="186"/>
    </row>
    <row r="77" spans="1:22" ht="4.7" hidden="1" customHeight="1" outlineLevel="1"/>
    <row r="78" spans="1:22" s="3" customFormat="1" hidden="1" outlineLevel="1">
      <c r="A78" s="3" t="s">
        <v>740</v>
      </c>
      <c r="B78" s="10"/>
      <c r="C78" s="2"/>
      <c r="E78" s="41" t="s">
        <v>741</v>
      </c>
      <c r="F78" s="41">
        <f xml:space="preserve"> F75 * F76</f>
        <v>0</v>
      </c>
      <c r="G78" s="41" t="s">
        <v>174</v>
      </c>
    </row>
    <row r="79" spans="1:22" s="3" customFormat="1" hidden="1" outlineLevel="1">
      <c r="A79" s="10"/>
      <c r="B79" s="10"/>
      <c r="C79" s="2"/>
      <c r="E79" s="41"/>
      <c r="F79" s="41"/>
      <c r="G79" s="41"/>
    </row>
    <row r="80" spans="1:22" s="3" customFormat="1" hidden="1" outlineLevel="1">
      <c r="A80" s="10"/>
      <c r="B80" s="10" t="s">
        <v>620</v>
      </c>
      <c r="C80" s="2"/>
      <c r="E80" s="41"/>
      <c r="F80" s="41"/>
      <c r="G80" s="41"/>
    </row>
    <row r="81" spans="1:22" s="3" customFormat="1" hidden="1" outlineLevel="1">
      <c r="A81" s="171" t="str">
        <f xml:space="preserve"> Inputs!A$114</f>
        <v>C_WWS15019_DMMY_PR19PD006</v>
      </c>
      <c r="B81" s="10"/>
      <c r="C81" s="2"/>
      <c r="E81" s="285" t="str">
        <f xml:space="preserve"> Inputs!E$114</f>
        <v>Dummy: revenue adjustment from totex menu model</v>
      </c>
      <c r="F81" s="301">
        <f xml:space="preserve"> Inputs!F$114</f>
        <v>0</v>
      </c>
      <c r="G81" s="285" t="str">
        <f xml:space="preserve"> Inputs!G$114</f>
        <v>£m</v>
      </c>
    </row>
    <row r="82" spans="1:22" ht="4.7" hidden="1" customHeight="1" outlineLevel="1">
      <c r="A82" s="171"/>
    </row>
    <row r="83" spans="1:22" s="3" customFormat="1" hidden="1" outlineLevel="1">
      <c r="A83" s="41"/>
      <c r="B83" s="10"/>
      <c r="C83" s="2"/>
      <c r="E83" s="186" t="str">
        <f xml:space="preserve"> Indexation!E$82</f>
        <v>RPI inflate from 2013 FYA to 2020 FYE</v>
      </c>
      <c r="F83" s="186">
        <f xml:space="preserve"> Indexation!F$82</f>
        <v>1.206498416266476</v>
      </c>
      <c r="G83" s="186" t="str">
        <f xml:space="preserve"> Indexation!G$82</f>
        <v>factor</v>
      </c>
    </row>
    <row r="84" spans="1:22" ht="4.7" hidden="1" customHeight="1" outlineLevel="1">
      <c r="A84" s="171"/>
    </row>
    <row r="85" spans="1:22" s="3" customFormat="1" hidden="1" outlineLevel="1">
      <c r="A85" s="41" t="s">
        <v>742</v>
      </c>
      <c r="B85" s="10"/>
      <c r="C85" s="2"/>
      <c r="E85" s="286" t="str">
        <f xml:space="preserve"> E81 &amp; " at 2020 FYE price base"</f>
        <v>Dummy: revenue adjustment from totex menu model at 2020 FYE price base</v>
      </c>
      <c r="F85" s="300">
        <f xml:space="preserve"> F81 * F$83</f>
        <v>0</v>
      </c>
      <c r="G85" s="287" t="s">
        <v>174</v>
      </c>
    </row>
    <row r="86" spans="1:22" hidden="1" outlineLevel="1"/>
    <row r="87" spans="1:22" s="163" customFormat="1" hidden="1" outlineLevel="1">
      <c r="A87" s="171" t="str">
        <f>Inputs!A115</f>
        <v>C_WWS13026_DMMY_PR19PD005</v>
      </c>
      <c r="B87" s="149"/>
      <c r="C87" s="150"/>
      <c r="D87" s="41"/>
      <c r="E87" s="311" t="str">
        <f>Inputs!E115</f>
        <v>Dummy: WRFIM total reward / (penalty) at the end of AMP6</v>
      </c>
      <c r="F87" s="311">
        <f>Inputs!F115</f>
        <v>0</v>
      </c>
      <c r="G87" s="311" t="str">
        <f>Inputs!G115</f>
        <v>£m</v>
      </c>
      <c r="H87" s="171"/>
      <c r="I87" s="171"/>
      <c r="J87" s="171"/>
      <c r="K87" s="171"/>
      <c r="L87" s="171"/>
      <c r="M87" s="171"/>
      <c r="N87" s="171"/>
      <c r="O87" s="171"/>
      <c r="P87" s="171"/>
      <c r="Q87" s="171"/>
      <c r="R87" s="171"/>
      <c r="S87" s="171"/>
      <c r="T87" s="171"/>
      <c r="U87" s="171"/>
      <c r="V87" s="171"/>
    </row>
    <row r="88" spans="1:22" s="151" customFormat="1" hidden="1" outlineLevel="1">
      <c r="A88" s="353"/>
      <c r="B88" s="183"/>
      <c r="C88" s="184"/>
      <c r="D88" s="185"/>
      <c r="E88" s="312" t="str">
        <f xml:space="preserve"> Indexation!E$102</f>
        <v>RPI inflate from November 2019 FYE to 2020 FYE</v>
      </c>
      <c r="F88" s="312">
        <f xml:space="preserve"> Indexation!F$102</f>
        <v>1.0372452565003512</v>
      </c>
      <c r="G88" s="312" t="str">
        <f xml:space="preserve"> Indexation!G$102</f>
        <v>factor</v>
      </c>
      <c r="H88" s="186"/>
    </row>
    <row r="89" spans="1:22" ht="4.7" hidden="1" customHeight="1" outlineLevel="1">
      <c r="E89" s="310"/>
      <c r="F89" s="310"/>
      <c r="G89" s="310"/>
    </row>
    <row r="90" spans="1:22" s="3" customFormat="1" hidden="1" outlineLevel="1">
      <c r="A90" s="3" t="s">
        <v>743</v>
      </c>
      <c r="B90" s="10"/>
      <c r="C90" s="2"/>
      <c r="E90" s="313" t="s">
        <v>744</v>
      </c>
      <c r="F90" s="313">
        <f xml:space="preserve"> F87 * F88</f>
        <v>0</v>
      </c>
      <c r="G90" s="313" t="s">
        <v>174</v>
      </c>
    </row>
    <row r="91" spans="1:22" s="3" customFormat="1" hidden="1" outlineLevel="1">
      <c r="A91" s="10"/>
      <c r="B91" s="10"/>
      <c r="C91" s="2"/>
      <c r="E91" s="41"/>
      <c r="F91" s="41"/>
      <c r="G91" s="41"/>
    </row>
    <row r="92" spans="1:22" s="196" customFormat="1" hidden="1" outlineLevel="1">
      <c r="A92" s="194"/>
      <c r="B92" s="194"/>
      <c r="C92" s="195"/>
      <c r="E92" s="191"/>
      <c r="F92" s="191"/>
      <c r="G92" s="191"/>
    </row>
    <row r="94" spans="1:22" ht="12.75" customHeight="1" collapsed="1">
      <c r="A94" s="39" t="s">
        <v>745</v>
      </c>
      <c r="B94" s="39"/>
      <c r="C94" s="40"/>
      <c r="D94" s="39"/>
      <c r="E94" s="39"/>
      <c r="F94" s="39"/>
      <c r="G94" s="39"/>
      <c r="H94" s="39"/>
      <c r="I94" s="39"/>
      <c r="J94" s="39"/>
      <c r="K94" s="39"/>
      <c r="L94" s="39"/>
      <c r="M94" s="39"/>
      <c r="N94" s="39"/>
      <c r="O94" s="39"/>
      <c r="P94" s="39"/>
      <c r="Q94" s="39"/>
      <c r="R94" s="39"/>
      <c r="S94" s="39"/>
      <c r="T94" s="39"/>
      <c r="U94" s="39"/>
      <c r="V94" s="39"/>
    </row>
    <row r="95" spans="1:22" hidden="1" outlineLevel="1"/>
    <row r="96" spans="1:22" s="177" customFormat="1" hidden="1" outlineLevel="1">
      <c r="A96" s="165" t="str">
        <f xml:space="preserve"> Inputs!A$119</f>
        <v>C_APP27019_PD002</v>
      </c>
      <c r="B96" s="160"/>
      <c r="C96" s="161"/>
      <c r="D96" s="162"/>
      <c r="E96" s="165" t="str">
        <f xml:space="preserve"> Inputs!E$119</f>
        <v>Net performance payment / (penalty) applied to revenue for in-period ODI adjustments ~ Residential retail</v>
      </c>
      <c r="F96" s="165">
        <f xml:space="preserve"> Inputs!F$119</f>
        <v>0</v>
      </c>
      <c r="G96" s="165" t="str">
        <f xml:space="preserve"> Inputs!G$119</f>
        <v>£m</v>
      </c>
      <c r="H96" s="162"/>
      <c r="I96" s="162"/>
      <c r="J96" s="162"/>
      <c r="K96" s="162"/>
      <c r="L96" s="162"/>
      <c r="M96" s="162"/>
      <c r="N96" s="162"/>
      <c r="O96" s="162"/>
      <c r="P96" s="162"/>
      <c r="Q96" s="162"/>
      <c r="R96" s="162"/>
      <c r="S96" s="162"/>
      <c r="T96" s="162"/>
      <c r="U96" s="162"/>
      <c r="V96" s="162"/>
    </row>
    <row r="97" spans="1:22" s="177" customFormat="1" hidden="1" outlineLevel="1">
      <c r="A97" s="165" t="str">
        <f xml:space="preserve"> Inputs!A$120</f>
        <v>C_APP27026_PD002</v>
      </c>
      <c r="B97" s="160"/>
      <c r="C97" s="161"/>
      <c r="D97" s="162"/>
      <c r="E97" s="165" t="str">
        <f xml:space="preserve"> Inputs!E$120</f>
        <v>Net performance payment / (penalty) applied to revenue for end of period ODI adjustments ~ Residential retail</v>
      </c>
      <c r="F97" s="165">
        <f xml:space="preserve"> Inputs!F$120</f>
        <v>0</v>
      </c>
      <c r="G97" s="165" t="str">
        <f xml:space="preserve"> Inputs!G$120</f>
        <v>£m</v>
      </c>
      <c r="H97" s="162"/>
      <c r="I97" s="162"/>
      <c r="J97" s="162"/>
      <c r="K97" s="162"/>
      <c r="L97" s="162"/>
      <c r="M97" s="162"/>
      <c r="N97" s="162"/>
      <c r="O97" s="162"/>
      <c r="P97" s="162"/>
      <c r="Q97" s="162"/>
      <c r="R97" s="162"/>
      <c r="S97" s="162"/>
      <c r="T97" s="162"/>
      <c r="U97" s="162"/>
      <c r="V97" s="162"/>
    </row>
    <row r="98" spans="1:22" s="177" customFormat="1" hidden="1" outlineLevel="1">
      <c r="A98" s="165" t="str">
        <f xml:space="preserve"> Inputs!A$121</f>
        <v>C_R9045_PR19PD008</v>
      </c>
      <c r="B98" s="160"/>
      <c r="C98" s="161"/>
      <c r="D98" s="162"/>
      <c r="E98" s="165" t="str">
        <f xml:space="preserve"> Inputs!E$121</f>
        <v>Residential retail revenue adjustment at end of AMP6</v>
      </c>
      <c r="F98" s="165">
        <f xml:space="preserve"> Inputs!F$121</f>
        <v>1.345</v>
      </c>
      <c r="G98" s="165" t="str">
        <f xml:space="preserve"> Inputs!G$121</f>
        <v>£m</v>
      </c>
      <c r="H98" s="162"/>
      <c r="I98" s="162"/>
      <c r="J98" s="162"/>
      <c r="K98" s="162"/>
      <c r="L98" s="162"/>
      <c r="M98" s="162"/>
      <c r="N98" s="162"/>
      <c r="O98" s="162"/>
      <c r="P98" s="162"/>
      <c r="Q98" s="162"/>
      <c r="R98" s="162"/>
      <c r="S98" s="162"/>
      <c r="T98" s="162"/>
      <c r="U98" s="162"/>
      <c r="V98" s="162"/>
    </row>
    <row r="99" spans="1:22" s="178" customFormat="1" hidden="1" outlineLevel="1">
      <c r="A99" s="165" t="str">
        <f xml:space="preserve"> Inputs!A$122</f>
        <v>C_R10009_PR19PD009</v>
      </c>
      <c r="B99" s="160"/>
      <c r="C99" s="161"/>
      <c r="D99" s="162"/>
      <c r="E99" s="165" t="str">
        <f xml:space="preserve"> Inputs!E$122</f>
        <v>SIM forecast revenue adjustment</v>
      </c>
      <c r="F99" s="165">
        <f xml:space="preserve"> Inputs!F$122</f>
        <v>-12.191000000000001</v>
      </c>
      <c r="G99" s="165" t="str">
        <f xml:space="preserve"> Inputs!G$122</f>
        <v>£m</v>
      </c>
      <c r="H99" s="162"/>
      <c r="I99" s="162"/>
      <c r="J99" s="162"/>
      <c r="K99" s="162"/>
      <c r="L99" s="162"/>
      <c r="M99" s="162"/>
      <c r="N99" s="162"/>
      <c r="O99" s="162"/>
      <c r="P99" s="162"/>
      <c r="Q99" s="162"/>
      <c r="R99" s="162"/>
      <c r="S99" s="162"/>
      <c r="T99" s="162"/>
      <c r="U99" s="162"/>
      <c r="V99" s="162"/>
    </row>
    <row r="100" spans="1:22" ht="4.7" hidden="1" customHeight="1" outlineLevel="1"/>
    <row r="101" spans="1:22" s="151" customFormat="1" hidden="1" outlineLevel="1">
      <c r="A101" s="183"/>
      <c r="B101" s="183"/>
      <c r="C101" s="184"/>
      <c r="D101" s="185"/>
      <c r="E101" s="186" t="str">
        <f xml:space="preserve"> Indexation!E$82</f>
        <v>RPI inflate from 2013 FYA to 2020 FYE</v>
      </c>
      <c r="F101" s="186">
        <f xml:space="preserve"> Indexation!F$82</f>
        <v>1.206498416266476</v>
      </c>
      <c r="G101" s="186" t="str">
        <f xml:space="preserve"> Indexation!G$82</f>
        <v>factor</v>
      </c>
      <c r="H101" s="186"/>
      <c r="I101" s="186"/>
      <c r="J101" s="186"/>
      <c r="K101" s="186"/>
      <c r="L101" s="186"/>
      <c r="M101" s="186"/>
      <c r="N101" s="186"/>
      <c r="O101" s="186"/>
      <c r="P101" s="186"/>
      <c r="Q101" s="186"/>
      <c r="R101" s="186"/>
      <c r="S101" s="186"/>
      <c r="T101" s="186"/>
      <c r="U101" s="186"/>
      <c r="V101" s="186"/>
    </row>
    <row r="102" spans="1:22" s="151" customFormat="1" hidden="1" outlineLevel="1">
      <c r="A102" s="183"/>
      <c r="B102" s="183"/>
      <c r="C102" s="184"/>
      <c r="D102" s="185"/>
      <c r="E102" s="186" t="str">
        <f xml:space="preserve"> Indexation!E$95</f>
        <v>RPI inflate from 2020 FYE to 2020 FYE</v>
      </c>
      <c r="F102" s="186">
        <f xml:space="preserve"> Indexation!F$95</f>
        <v>1</v>
      </c>
      <c r="G102" s="186" t="str">
        <f xml:space="preserve"> Indexation!G$95</f>
        <v>factor</v>
      </c>
      <c r="H102" s="186"/>
    </row>
    <row r="103" spans="1:22" s="151" customFormat="1" hidden="1" outlineLevel="1">
      <c r="A103" s="183"/>
      <c r="B103" s="183"/>
      <c r="C103" s="184"/>
      <c r="D103" s="185"/>
      <c r="E103" s="186" t="str">
        <f xml:space="preserve"> Indexation!E$89</f>
        <v>RPI inflate from 2018 FYA to 2020 FYE</v>
      </c>
      <c r="F103" s="186">
        <f xml:space="preserve"> Indexation!F$89</f>
        <v>1.0738124829488616</v>
      </c>
      <c r="G103" s="186" t="str">
        <f xml:space="preserve"> Indexation!G$89</f>
        <v>factor</v>
      </c>
      <c r="H103" s="186"/>
    </row>
    <row r="104" spans="1:22" ht="4.7" hidden="1" customHeight="1" outlineLevel="1"/>
    <row r="105" spans="1:22" s="164" customFormat="1" hidden="1" outlineLevel="1">
      <c r="A105" s="3" t="s">
        <v>746</v>
      </c>
      <c r="B105" s="10"/>
      <c r="C105" s="2"/>
      <c r="D105" s="3"/>
      <c r="E105" s="164" t="str">
        <f t="shared" ref="E105:E106" si="0" xml:space="preserve"> E96 &amp; " at 2020 FYE price base"</f>
        <v>Net performance payment / (penalty) applied to revenue for in-period ODI adjustments ~ Residential retail at 2020 FYE price base</v>
      </c>
      <c r="F105" s="164">
        <f xml:space="preserve"> F96 * F$101</f>
        <v>0</v>
      </c>
      <c r="G105" s="164" t="s">
        <v>174</v>
      </c>
      <c r="H105" s="3"/>
      <c r="I105" s="3"/>
      <c r="J105" s="3"/>
      <c r="K105" s="3"/>
      <c r="L105" s="3"/>
      <c r="M105" s="3"/>
      <c r="N105" s="3"/>
      <c r="O105" s="3"/>
      <c r="P105" s="3"/>
      <c r="Q105" s="3"/>
      <c r="R105" s="3"/>
      <c r="S105" s="3"/>
      <c r="T105" s="3"/>
      <c r="U105" s="3"/>
      <c r="V105" s="3"/>
    </row>
    <row r="106" spans="1:22" s="164" customFormat="1" hidden="1" outlineLevel="1">
      <c r="A106" s="3" t="s">
        <v>747</v>
      </c>
      <c r="B106" s="10"/>
      <c r="C106" s="2"/>
      <c r="D106" s="3"/>
      <c r="E106" s="164" t="str">
        <f t="shared" si="0"/>
        <v>Net performance payment / (penalty) applied to revenue for end of period ODI adjustments ~ Residential retail at 2020 FYE price base</v>
      </c>
      <c r="F106" s="164">
        <f xml:space="preserve"> F97 * F$101</f>
        <v>0</v>
      </c>
      <c r="G106" s="164" t="s">
        <v>174</v>
      </c>
      <c r="H106" s="3"/>
      <c r="I106" s="3"/>
      <c r="J106" s="3"/>
      <c r="K106" s="3"/>
      <c r="L106" s="3"/>
      <c r="M106" s="3"/>
      <c r="N106" s="3"/>
      <c r="O106" s="3"/>
      <c r="P106" s="3"/>
      <c r="Q106" s="3"/>
      <c r="R106" s="3"/>
      <c r="S106" s="3"/>
      <c r="T106" s="3"/>
      <c r="U106" s="3"/>
      <c r="V106" s="3"/>
    </row>
    <row r="107" spans="1:22" s="164" customFormat="1" hidden="1" outlineLevel="1">
      <c r="A107" s="3" t="s">
        <v>748</v>
      </c>
      <c r="B107" s="10"/>
      <c r="C107" s="2"/>
      <c r="D107" s="3"/>
      <c r="E107" s="164" t="str">
        <f xml:space="preserve"> E98 &amp; " at 2020 FYE price base"</f>
        <v>Residential retail revenue adjustment at end of AMP6 at 2020 FYE price base</v>
      </c>
      <c r="F107" s="164">
        <f xml:space="preserve"> F98 * F102</f>
        <v>1.345</v>
      </c>
      <c r="G107" s="164" t="s">
        <v>174</v>
      </c>
      <c r="H107" s="3"/>
      <c r="I107" s="3"/>
      <c r="J107" s="3"/>
      <c r="K107" s="3"/>
      <c r="L107" s="3"/>
      <c r="M107" s="3"/>
      <c r="N107" s="3"/>
      <c r="O107" s="3"/>
      <c r="P107" s="3"/>
      <c r="Q107" s="3"/>
      <c r="R107" s="3"/>
      <c r="S107" s="3"/>
      <c r="T107" s="3"/>
      <c r="U107" s="3"/>
      <c r="V107" s="3"/>
    </row>
    <row r="108" spans="1:22" s="164" customFormat="1" hidden="1" outlineLevel="1">
      <c r="A108" s="3" t="s">
        <v>749</v>
      </c>
      <c r="B108" s="10"/>
      <c r="C108" s="2"/>
      <c r="D108" s="3"/>
      <c r="E108" s="164" t="str">
        <f xml:space="preserve"> E99 &amp; " at 2020 FYE price base"</f>
        <v>SIM forecast revenue adjustment at 2020 FYE price base</v>
      </c>
      <c r="F108" s="164">
        <f xml:space="preserve"> F99 * F103</f>
        <v>-13.090847979629572</v>
      </c>
      <c r="G108" s="164" t="s">
        <v>174</v>
      </c>
      <c r="H108" s="3"/>
      <c r="I108" s="3"/>
      <c r="J108" s="3"/>
      <c r="K108" s="3"/>
      <c r="L108" s="3"/>
      <c r="M108" s="3"/>
      <c r="N108" s="3"/>
      <c r="O108" s="3"/>
      <c r="P108" s="3"/>
      <c r="Q108" s="3"/>
      <c r="R108" s="3"/>
      <c r="S108" s="3"/>
      <c r="T108" s="3"/>
      <c r="U108" s="3"/>
      <c r="V108" s="3"/>
    </row>
    <row r="109" spans="1:22" s="146" customFormat="1" hidden="1" outlineLevel="1">
      <c r="A109" s="10"/>
      <c r="B109" s="10"/>
      <c r="C109" s="2"/>
      <c r="D109" s="3"/>
      <c r="H109" s="12"/>
      <c r="I109" s="12"/>
      <c r="J109" s="12"/>
      <c r="K109" s="12"/>
      <c r="L109" s="12"/>
      <c r="M109" s="12"/>
      <c r="N109" s="12"/>
      <c r="O109" s="12"/>
      <c r="P109" s="12"/>
      <c r="Q109" s="12"/>
      <c r="R109" s="12"/>
      <c r="S109" s="12"/>
      <c r="T109" s="12"/>
      <c r="U109" s="12"/>
      <c r="V109" s="12"/>
    </row>
    <row r="111" spans="1:22" ht="12.75" customHeight="1" collapsed="1">
      <c r="A111" s="39" t="s">
        <v>750</v>
      </c>
      <c r="B111" s="39"/>
      <c r="C111" s="40"/>
      <c r="D111" s="39"/>
      <c r="E111" s="39"/>
      <c r="F111" s="39"/>
      <c r="G111" s="39"/>
      <c r="H111" s="39"/>
      <c r="I111" s="39"/>
      <c r="J111" s="39"/>
      <c r="K111" s="39"/>
      <c r="L111" s="39"/>
      <c r="M111" s="39"/>
      <c r="N111" s="39"/>
      <c r="O111" s="39"/>
      <c r="P111" s="39"/>
      <c r="Q111" s="39"/>
      <c r="R111" s="39"/>
      <c r="S111" s="39"/>
      <c r="T111" s="39"/>
      <c r="U111" s="39"/>
      <c r="V111" s="39"/>
    </row>
    <row r="112" spans="1:22" hidden="1" outlineLevel="1"/>
    <row r="113" spans="1:22" s="177" customFormat="1" hidden="1" outlineLevel="1">
      <c r="A113" s="165" t="str">
        <f xml:space="preserve"> Inputs!A$126</f>
        <v>C_APP27020_PD002</v>
      </c>
      <c r="B113" s="160"/>
      <c r="C113" s="161"/>
      <c r="D113" s="162"/>
      <c r="E113" s="165" t="str">
        <f xml:space="preserve"> Inputs!E$126</f>
        <v>Net performance payment / (penalty) applied to revenue for in-period ODI adjustments ~ Business retail</v>
      </c>
      <c r="F113" s="165">
        <f xml:space="preserve"> Inputs!F$126</f>
        <v>0</v>
      </c>
      <c r="G113" s="165" t="str">
        <f xml:space="preserve"> Inputs!G$126</f>
        <v>£m</v>
      </c>
      <c r="H113" s="162"/>
      <c r="I113" s="162"/>
      <c r="J113" s="162"/>
      <c r="K113" s="162"/>
      <c r="L113" s="162"/>
      <c r="M113" s="162"/>
      <c r="N113" s="162"/>
      <c r="O113" s="162"/>
      <c r="P113" s="162"/>
      <c r="Q113" s="162"/>
      <c r="R113" s="162"/>
      <c r="S113" s="162"/>
      <c r="T113" s="162"/>
      <c r="U113" s="162"/>
      <c r="V113" s="162"/>
    </row>
    <row r="114" spans="1:22" s="178" customFormat="1" hidden="1" outlineLevel="1">
      <c r="A114" s="165" t="str">
        <f xml:space="preserve"> Inputs!A$127</f>
        <v>C_APP27027_PD002</v>
      </c>
      <c r="B114" s="160"/>
      <c r="C114" s="161"/>
      <c r="D114" s="162"/>
      <c r="E114" s="165" t="str">
        <f xml:space="preserve"> Inputs!E$127</f>
        <v>Net performance payment / (penalty) applied to revenue for end of period ODI adjustments ~ Business retail</v>
      </c>
      <c r="F114" s="165">
        <f xml:space="preserve"> Inputs!F$127</f>
        <v>0</v>
      </c>
      <c r="G114" s="165" t="str">
        <f xml:space="preserve"> Inputs!G$127</f>
        <v>£m</v>
      </c>
      <c r="H114" s="162"/>
      <c r="I114" s="162"/>
      <c r="J114" s="162"/>
      <c r="K114" s="162"/>
      <c r="L114" s="162"/>
      <c r="M114" s="162"/>
      <c r="N114" s="162"/>
      <c r="O114" s="162"/>
      <c r="P114" s="162"/>
      <c r="Q114" s="162"/>
      <c r="R114" s="162"/>
      <c r="S114" s="162"/>
      <c r="T114" s="162"/>
      <c r="U114" s="162"/>
      <c r="V114" s="162"/>
    </row>
    <row r="115" spans="1:22" ht="4.7" hidden="1" customHeight="1" outlineLevel="1"/>
    <row r="116" spans="1:22" s="151" customFormat="1" hidden="1" outlineLevel="1">
      <c r="A116" s="183"/>
      <c r="B116" s="183"/>
      <c r="C116" s="184"/>
      <c r="D116" s="185"/>
      <c r="E116" s="186" t="str">
        <f xml:space="preserve"> Indexation!E$82</f>
        <v>RPI inflate from 2013 FYA to 2020 FYE</v>
      </c>
      <c r="F116" s="186">
        <f xml:space="preserve"> Indexation!F$82</f>
        <v>1.206498416266476</v>
      </c>
      <c r="G116" s="186" t="str">
        <f xml:space="preserve"> Indexation!G$82</f>
        <v>factor</v>
      </c>
      <c r="H116" s="186"/>
      <c r="I116" s="186"/>
      <c r="J116" s="186"/>
      <c r="K116" s="186"/>
      <c r="L116" s="186"/>
      <c r="M116" s="186"/>
      <c r="N116" s="186"/>
      <c r="O116" s="186"/>
      <c r="P116" s="186"/>
      <c r="Q116" s="186"/>
      <c r="R116" s="186"/>
      <c r="S116" s="186"/>
      <c r="T116" s="186"/>
      <c r="U116" s="186"/>
      <c r="V116" s="186"/>
    </row>
    <row r="117" spans="1:22" ht="4.7" hidden="1" customHeight="1" outlineLevel="1"/>
    <row r="118" spans="1:22" s="164" customFormat="1" hidden="1" outlineLevel="1">
      <c r="A118" s="3" t="s">
        <v>751</v>
      </c>
      <c r="B118" s="10"/>
      <c r="C118" s="2"/>
      <c r="D118" s="3"/>
      <c r="E118" s="164" t="str">
        <f xml:space="preserve"> E113 &amp; " at 2020 FYE price base"</f>
        <v>Net performance payment / (penalty) applied to revenue for in-period ODI adjustments ~ Business retail at 2020 FYE price base</v>
      </c>
      <c r="F118" s="164">
        <f xml:space="preserve"> F113 * F$116</f>
        <v>0</v>
      </c>
      <c r="G118" s="164" t="s">
        <v>174</v>
      </c>
      <c r="H118" s="3"/>
      <c r="I118" s="3"/>
      <c r="J118" s="3"/>
      <c r="K118" s="3"/>
      <c r="L118" s="3"/>
      <c r="M118" s="3"/>
      <c r="N118" s="3"/>
      <c r="O118" s="3"/>
      <c r="P118" s="3"/>
      <c r="Q118" s="3"/>
      <c r="R118" s="3"/>
      <c r="S118" s="3"/>
      <c r="T118" s="3"/>
      <c r="U118" s="3"/>
      <c r="V118" s="3"/>
    </row>
    <row r="119" spans="1:22" s="164" customFormat="1" hidden="1" outlineLevel="1">
      <c r="A119" s="3" t="s">
        <v>752</v>
      </c>
      <c r="B119" s="10"/>
      <c r="C119" s="2"/>
      <c r="D119" s="3"/>
      <c r="E119" s="164" t="str">
        <f xml:space="preserve"> E114 &amp; " at 2020 FYE price base"</f>
        <v>Net performance payment / (penalty) applied to revenue for end of period ODI adjustments ~ Business retail at 2020 FYE price base</v>
      </c>
      <c r="F119" s="164">
        <f xml:space="preserve"> F114 * F$116</f>
        <v>0</v>
      </c>
      <c r="G119" s="164" t="s">
        <v>174</v>
      </c>
      <c r="H119" s="3"/>
      <c r="I119" s="3"/>
      <c r="J119" s="3"/>
      <c r="K119" s="3"/>
      <c r="L119" s="3"/>
      <c r="M119" s="3"/>
      <c r="N119" s="3"/>
      <c r="O119" s="3"/>
      <c r="P119" s="3"/>
      <c r="Q119" s="3"/>
      <c r="R119" s="3"/>
      <c r="S119" s="3"/>
      <c r="T119" s="3"/>
      <c r="U119" s="3"/>
      <c r="V119" s="3"/>
    </row>
    <row r="120" spans="1:22" s="146" customFormat="1" hidden="1" outlineLevel="1">
      <c r="A120" s="10"/>
      <c r="B120" s="10"/>
      <c r="C120" s="2"/>
      <c r="D120" s="3"/>
      <c r="H120" s="12"/>
      <c r="I120" s="12"/>
      <c r="J120" s="12"/>
      <c r="K120" s="12"/>
      <c r="L120" s="12"/>
      <c r="M120" s="12"/>
      <c r="N120" s="12"/>
      <c r="O120" s="12"/>
      <c r="P120" s="12"/>
      <c r="Q120" s="12"/>
      <c r="R120" s="12"/>
      <c r="S120" s="12"/>
      <c r="T120" s="12"/>
      <c r="U120" s="12"/>
      <c r="V120" s="12"/>
    </row>
    <row r="122" spans="1:22" ht="12.75" customHeight="1" collapsed="1">
      <c r="A122" s="39" t="s">
        <v>753</v>
      </c>
      <c r="B122" s="39"/>
      <c r="C122" s="40"/>
      <c r="D122" s="39"/>
      <c r="E122" s="39"/>
      <c r="F122" s="39"/>
      <c r="G122" s="39"/>
      <c r="H122" s="39"/>
      <c r="I122" s="39"/>
      <c r="J122" s="39"/>
      <c r="K122" s="39"/>
      <c r="L122" s="39"/>
      <c r="M122" s="39"/>
      <c r="N122" s="39"/>
      <c r="O122" s="39"/>
      <c r="P122" s="39"/>
      <c r="Q122" s="39"/>
      <c r="R122" s="39"/>
      <c r="S122" s="39"/>
      <c r="T122" s="39"/>
      <c r="U122" s="39"/>
      <c r="V122" s="39"/>
    </row>
    <row r="123" spans="1:22" hidden="1" outlineLevel="1"/>
    <row r="124" spans="1:22" hidden="1" outlineLevel="1">
      <c r="A124" s="3" t="str">
        <f xml:space="preserve"> A$15</f>
        <v>C_APP27015</v>
      </c>
      <c r="E124" s="41" t="str">
        <f xml:space="preserve"> E$15</f>
        <v>Net performance payment / (penalty) applied to revenue for in-period ODI adjustments ~ Water resources at 2020 FYE price base</v>
      </c>
      <c r="F124" s="41">
        <f t="shared" ref="F124:G124" si="1" xml:space="preserve"> F$15</f>
        <v>0</v>
      </c>
      <c r="G124" s="41" t="str">
        <f t="shared" si="1"/>
        <v>£m</v>
      </c>
    </row>
    <row r="125" spans="1:22" hidden="1" outlineLevel="1">
      <c r="A125" s="3" t="str">
        <f xml:space="preserve"> A$16</f>
        <v>C_APP27022</v>
      </c>
      <c r="E125" s="41" t="str">
        <f xml:space="preserve"> E$16</f>
        <v>Net performance payment / (penalty) applied to revenue for end of period ODI adjustments ~ Water resources at 2020 FYE price base</v>
      </c>
      <c r="F125" s="41">
        <f t="shared" ref="F125:G125" si="2" xml:space="preserve"> F$16</f>
        <v>1.526220496577092</v>
      </c>
      <c r="G125" s="41" t="str">
        <f t="shared" si="2"/>
        <v>£m</v>
      </c>
    </row>
    <row r="126" spans="1:22" hidden="1" outlineLevel="1">
      <c r="A126" s="3" t="str">
        <f xml:space="preserve"> A$23</f>
        <v>C_WS17013</v>
      </c>
      <c r="E126" s="41" t="str">
        <f xml:space="preserve"> E$23</f>
        <v>Water trading total value of export incentive ~ Water resources at 2020 FYE price base</v>
      </c>
      <c r="F126" s="41">
        <f t="shared" ref="F126:G126" si="3" xml:space="preserve"> F$23</f>
        <v>0</v>
      </c>
      <c r="G126" s="41" t="str">
        <f t="shared" si="3"/>
        <v>£m</v>
      </c>
    </row>
    <row r="127" spans="1:22" hidden="1" outlineLevel="1">
      <c r="A127" s="3" t="str">
        <f xml:space="preserve"> A$24</f>
        <v>C_WS17025</v>
      </c>
      <c r="E127" s="41" t="str">
        <f xml:space="preserve"> E$24</f>
        <v>Water trading total value of import incentive ~ Water resources  at 2020 FYE price base</v>
      </c>
      <c r="F127" s="41">
        <f t="shared" ref="F127:G127" si="4" xml:space="preserve"> F$24</f>
        <v>0</v>
      </c>
      <c r="G127" s="41" t="str">
        <f t="shared" si="4"/>
        <v>£m</v>
      </c>
    </row>
    <row r="128" spans="1:22" hidden="1" outlineLevel="1">
      <c r="A128" s="3" t="str">
        <f xml:space="preserve"> A$34</f>
        <v>C00578</v>
      </c>
      <c r="E128" s="41" t="str">
        <f xml:space="preserve"> E$34</f>
        <v>Further 2010-15 reconciliation total adjustment carry forward to PR19 ~ Water network plus at 2020 FYE price base</v>
      </c>
      <c r="F128" s="364">
        <f t="shared" ref="F128:G128" si="5" xml:space="preserve"> F$34</f>
        <v>1.0480176824841481</v>
      </c>
      <c r="G128" s="41" t="str">
        <f t="shared" si="5"/>
        <v>£m</v>
      </c>
    </row>
    <row r="129" spans="1:22" hidden="1" outlineLevel="1">
      <c r="A129" s="3" t="str">
        <f xml:space="preserve"> A$35</f>
        <v>C_APP27016</v>
      </c>
      <c r="E129" s="41" t="str">
        <f xml:space="preserve"> E$35</f>
        <v>Net performance payment / (penalty) applied to revenue for in-period ODI adjustments ~ Water network plus at 2020 FYE price base</v>
      </c>
      <c r="F129" s="41">
        <f t="shared" ref="F129:G129" si="6" xml:space="preserve"> F$35</f>
        <v>0</v>
      </c>
      <c r="G129" s="41" t="str">
        <f t="shared" si="6"/>
        <v>£m</v>
      </c>
    </row>
    <row r="130" spans="1:22" hidden="1" outlineLevel="1">
      <c r="A130" s="3" t="str">
        <f xml:space="preserve"> A$36</f>
        <v>C_APP27023</v>
      </c>
      <c r="E130" s="41" t="str">
        <f xml:space="preserve"> E$36</f>
        <v>Net performance payment / (penalty) applied to revenue for end of period ODI adjustments ~ Water network plus at 2020 FYE price base</v>
      </c>
      <c r="F130" s="41">
        <f t="shared" ref="F130:G130" si="7" xml:space="preserve"> F$36</f>
        <v>-15.577101052416472</v>
      </c>
      <c r="G130" s="41" t="str">
        <f t="shared" si="7"/>
        <v>£m</v>
      </c>
    </row>
    <row r="131" spans="1:22" hidden="1" outlineLevel="1">
      <c r="A131" s="3" t="str">
        <f xml:space="preserve"> A$37</f>
        <v>C_WS15024</v>
      </c>
      <c r="E131" s="41" t="str">
        <f xml:space="preserve"> E$37</f>
        <v>Totex menu revenue adjustment ~ Water network plus  at 2020 FYE price base</v>
      </c>
      <c r="F131" s="41">
        <f t="shared" ref="F131:G131" si="8" xml:space="preserve"> F$37</f>
        <v>-8.6867885971186262E-2</v>
      </c>
      <c r="G131" s="41" t="str">
        <f t="shared" si="8"/>
        <v>£m</v>
      </c>
    </row>
    <row r="132" spans="1:22" hidden="1" outlineLevel="1">
      <c r="A132" s="3" t="str">
        <f xml:space="preserve"> A$46</f>
        <v>C_WS17014</v>
      </c>
      <c r="E132" s="41" t="str">
        <f xml:space="preserve"> E$46</f>
        <v>Water trading total value of export incentive - Water network plus at 2020 FYE price base</v>
      </c>
      <c r="F132" s="41">
        <f t="shared" ref="F132:G132" si="9" xml:space="preserve"> F$46</f>
        <v>0</v>
      </c>
      <c r="G132" s="41" t="str">
        <f t="shared" si="9"/>
        <v>£m</v>
      </c>
    </row>
    <row r="133" spans="1:22" hidden="1" outlineLevel="1">
      <c r="A133" s="3" t="str">
        <f xml:space="preserve"> A$47</f>
        <v>C_WS17026</v>
      </c>
      <c r="E133" s="41" t="str">
        <f xml:space="preserve"> E$47</f>
        <v>Water trading total value of import incentive - Water network plus at 2020 FYE price base</v>
      </c>
      <c r="F133" s="41">
        <f t="shared" ref="F133:G133" si="10" xml:space="preserve"> F$47</f>
        <v>0</v>
      </c>
      <c r="G133" s="41" t="str">
        <f t="shared" si="10"/>
        <v>£m</v>
      </c>
    </row>
    <row r="134" spans="1:22" hidden="1" outlineLevel="1">
      <c r="A134" s="3" t="str">
        <f xml:space="preserve"> A$48</f>
        <v>C_WS13026</v>
      </c>
      <c r="E134" s="41" t="str">
        <f xml:space="preserve"> E$48</f>
        <v>WRFIM total reward / (penalty) at the end of AMP6 ~ Water network plus at 2020 FYE price base</v>
      </c>
      <c r="F134" s="41">
        <f t="shared" ref="F134:G134" si="11" xml:space="preserve"> F$48</f>
        <v>10.466841883345042</v>
      </c>
      <c r="G134" s="41" t="str">
        <f t="shared" si="11"/>
        <v>£m</v>
      </c>
    </row>
    <row r="135" spans="1:22" hidden="1" outlineLevel="1">
      <c r="A135" s="3" t="str">
        <f xml:space="preserve"> A$59</f>
        <v>C_APP27018</v>
      </c>
      <c r="E135" s="41" t="str">
        <f xml:space="preserve"> E$59</f>
        <v>Net performance payment / (penalty) applied to revenue for in-period ODI adjustments ~ Bioresources at 2020 FYE price base</v>
      </c>
      <c r="F135" s="41">
        <f t="shared" ref="F135:G135" si="12" xml:space="preserve"> F$59</f>
        <v>0</v>
      </c>
      <c r="G135" s="41" t="str">
        <f t="shared" si="12"/>
        <v>£m</v>
      </c>
    </row>
    <row r="136" spans="1:22" hidden="1" outlineLevel="1">
      <c r="A136" s="3" t="str">
        <f xml:space="preserve"> A$60</f>
        <v>C_APP27025</v>
      </c>
      <c r="E136" s="41" t="str">
        <f xml:space="preserve"> E$60</f>
        <v>Net performance payment / (penalty) applied to revenue for end of period ODI adjustments ~ Bioresources at 2020 FYE price base</v>
      </c>
      <c r="F136" s="41">
        <f t="shared" ref="F136:G136" si="13" xml:space="preserve"> F$60</f>
        <v>0</v>
      </c>
      <c r="G136" s="41" t="str">
        <f t="shared" si="13"/>
        <v>£m</v>
      </c>
    </row>
    <row r="137" spans="1:22" hidden="1" outlineLevel="1">
      <c r="A137" s="3" t="str">
        <f xml:space="preserve"> A$70</f>
        <v>C00585</v>
      </c>
      <c r="E137" s="41" t="str">
        <f xml:space="preserve"> E$70</f>
        <v>Further 2010-15 reconciliation total adjustment carry forward to PR19 ~ Wastewater network plus at 2020 FYE price base</v>
      </c>
      <c r="F137" s="41">
        <f t="shared" ref="F137:G137" si="14" xml:space="preserve"> F$70</f>
        <v>0</v>
      </c>
      <c r="G137" s="41" t="str">
        <f t="shared" si="14"/>
        <v>£m</v>
      </c>
    </row>
    <row r="138" spans="1:22" hidden="1" outlineLevel="1">
      <c r="A138" s="3" t="str">
        <f xml:space="preserve"> A$71</f>
        <v>C_APP27017</v>
      </c>
      <c r="E138" s="41" t="str">
        <f xml:space="preserve"> E$71</f>
        <v>Net performance payment / (penalty) applied to revenue for in-period ODI adjustments ~ Wastewater network plus at 2020 FYE price base</v>
      </c>
      <c r="F138" s="41">
        <f t="shared" ref="F138:G138" si="15" xml:space="preserve"> F$71</f>
        <v>0</v>
      </c>
      <c r="G138" s="41" t="str">
        <f t="shared" si="15"/>
        <v>£m</v>
      </c>
    </row>
    <row r="139" spans="1:22" hidden="1" outlineLevel="1">
      <c r="A139" s="3" t="str">
        <f xml:space="preserve"> A$72</f>
        <v>C_APP27024</v>
      </c>
      <c r="E139" s="41" t="str">
        <f xml:space="preserve"> E$72</f>
        <v>Net performance payment / (penalty) applied to revenue for end of period ODI adjustments ~ Wastewater network plus at 2020 FYE price base</v>
      </c>
      <c r="F139" s="41">
        <f t="shared" ref="F139:G139" si="16" xml:space="preserve"> F$72</f>
        <v>0</v>
      </c>
      <c r="G139" s="41" t="str">
        <f t="shared" si="16"/>
        <v>£m</v>
      </c>
      <c r="H139" s="41"/>
      <c r="I139" s="41"/>
      <c r="J139" s="41"/>
      <c r="K139" s="41"/>
      <c r="L139" s="41"/>
      <c r="M139" s="41"/>
      <c r="N139" s="41"/>
      <c r="O139" s="41"/>
      <c r="P139" s="41"/>
      <c r="Q139" s="41"/>
      <c r="R139" s="41"/>
      <c r="S139" s="41"/>
      <c r="T139" s="41"/>
      <c r="U139" s="41"/>
      <c r="V139" s="41"/>
    </row>
    <row r="140" spans="1:22" hidden="1" outlineLevel="1">
      <c r="A140" s="3" t="str">
        <f xml:space="preserve"> A$73</f>
        <v>C_WWS15019</v>
      </c>
      <c r="E140" s="41" t="str">
        <f xml:space="preserve"> E$73</f>
        <v>Wastewater: revenue adjustment from totex menu model at 2020 FYE price base</v>
      </c>
      <c r="F140" s="41">
        <f t="shared" ref="F140:G140" si="17" xml:space="preserve"> F$73</f>
        <v>0</v>
      </c>
      <c r="G140" s="41" t="str">
        <f t="shared" si="17"/>
        <v>£m</v>
      </c>
      <c r="H140" s="41"/>
      <c r="I140" s="41"/>
      <c r="J140" s="41"/>
      <c r="K140" s="41"/>
      <c r="L140" s="41"/>
      <c r="M140" s="41"/>
      <c r="N140" s="41"/>
      <c r="O140" s="41"/>
      <c r="P140" s="41"/>
      <c r="Q140" s="41"/>
      <c r="R140" s="41"/>
      <c r="S140" s="41"/>
      <c r="T140" s="41"/>
      <c r="U140" s="41"/>
      <c r="V140" s="41"/>
    </row>
    <row r="141" spans="1:22" hidden="1" outlineLevel="1">
      <c r="A141" s="3" t="str">
        <f xml:space="preserve"> A$78</f>
        <v>C_WWS13026</v>
      </c>
      <c r="E141" s="41" t="str">
        <f xml:space="preserve"> E$78</f>
        <v>WRFIM total reward / (penalty) at the end of AMP6 ~ Wastewater network plus at 2020 FYE price base</v>
      </c>
      <c r="F141" s="41">
        <f t="shared" ref="F141:G141" si="18" xml:space="preserve"> F$78</f>
        <v>0</v>
      </c>
      <c r="G141" s="41" t="str">
        <f t="shared" si="18"/>
        <v>£m</v>
      </c>
    </row>
    <row r="142" spans="1:22" hidden="1" outlineLevel="1">
      <c r="A142" s="3" t="str">
        <f>A$85</f>
        <v>C_WWS15019_DMMY</v>
      </c>
      <c r="E142" s="286" t="str">
        <f>E$85</f>
        <v>Dummy: revenue adjustment from totex menu model at 2020 FYE price base</v>
      </c>
      <c r="F142" s="299">
        <f t="shared" ref="F142:G142" si="19">F$85</f>
        <v>0</v>
      </c>
      <c r="G142" s="286" t="str">
        <f t="shared" si="19"/>
        <v>£m</v>
      </c>
    </row>
    <row r="143" spans="1:22" hidden="1" outlineLevel="1">
      <c r="A143" s="3" t="str">
        <f>A$90</f>
        <v>C_WWS13026_DMMY</v>
      </c>
      <c r="E143" s="313" t="str">
        <f>E$90</f>
        <v>Dummy: WRFIM total reward / (penalty) at the end of AMP6 at 2020 FYE price base</v>
      </c>
      <c r="F143" s="313">
        <f t="shared" ref="F143:G143" si="20">F$90</f>
        <v>0</v>
      </c>
      <c r="G143" s="313" t="str">
        <f t="shared" si="20"/>
        <v>£m</v>
      </c>
    </row>
    <row r="144" spans="1:22" hidden="1" outlineLevel="1">
      <c r="A144" s="3" t="str">
        <f xml:space="preserve"> A$105</f>
        <v>C_APP27019</v>
      </c>
      <c r="E144" s="41" t="str">
        <f xml:space="preserve"> E$105</f>
        <v>Net performance payment / (penalty) applied to revenue for in-period ODI adjustments ~ Residential retail at 2020 FYE price base</v>
      </c>
      <c r="F144" s="41">
        <f t="shared" ref="F144:G144" si="21" xml:space="preserve"> F$105</f>
        <v>0</v>
      </c>
      <c r="G144" s="41" t="str">
        <f t="shared" si="21"/>
        <v>£m</v>
      </c>
    </row>
    <row r="145" spans="1:10" hidden="1" outlineLevel="1">
      <c r="A145" s="3" t="str">
        <f xml:space="preserve"> A$106</f>
        <v>C_APP27026</v>
      </c>
      <c r="E145" s="41" t="str">
        <f xml:space="preserve"> E$106</f>
        <v>Net performance payment / (penalty) applied to revenue for end of period ODI adjustments ~ Residential retail at 2020 FYE price base</v>
      </c>
      <c r="F145" s="41">
        <f t="shared" ref="F145:G145" si="22" xml:space="preserve"> F$106</f>
        <v>0</v>
      </c>
      <c r="G145" s="41" t="str">
        <f t="shared" si="22"/>
        <v>£m</v>
      </c>
    </row>
    <row r="146" spans="1:10" hidden="1" outlineLevel="1">
      <c r="A146" s="3" t="str">
        <f xml:space="preserve"> A$107</f>
        <v>C_R9045</v>
      </c>
      <c r="E146" s="41" t="str">
        <f xml:space="preserve"> E$107</f>
        <v>Residential retail revenue adjustment at end of AMP6 at 2020 FYE price base</v>
      </c>
      <c r="F146" s="41">
        <f t="shared" ref="F146:G146" si="23" xml:space="preserve"> F$107</f>
        <v>1.345</v>
      </c>
      <c r="G146" s="41" t="str">
        <f t="shared" si="23"/>
        <v>£m</v>
      </c>
    </row>
    <row r="147" spans="1:10" hidden="1" outlineLevel="1">
      <c r="A147" s="3" t="str">
        <f xml:space="preserve"> A$108</f>
        <v>C_R10009</v>
      </c>
      <c r="E147" s="41" t="str">
        <f xml:space="preserve"> E$108</f>
        <v>SIM forecast revenue adjustment at 2020 FYE price base</v>
      </c>
      <c r="F147" s="41">
        <f t="shared" ref="F147:G147" si="24" xml:space="preserve"> F$108</f>
        <v>-13.090847979629572</v>
      </c>
      <c r="G147" s="41" t="str">
        <f t="shared" si="24"/>
        <v>£m</v>
      </c>
    </row>
    <row r="148" spans="1:10" hidden="1" outlineLevel="1">
      <c r="A148" s="3" t="str">
        <f xml:space="preserve"> A$118</f>
        <v>C_APP27020</v>
      </c>
      <c r="E148" s="41" t="str">
        <f xml:space="preserve"> E$118</f>
        <v>Net performance payment / (penalty) applied to revenue for in-period ODI adjustments ~ Business retail at 2020 FYE price base</v>
      </c>
      <c r="F148" s="41">
        <f t="shared" ref="F148:G148" si="25" xml:space="preserve"> F$118</f>
        <v>0</v>
      </c>
      <c r="G148" s="41" t="str">
        <f t="shared" si="25"/>
        <v>£m</v>
      </c>
    </row>
    <row r="149" spans="1:10" hidden="1" outlineLevel="1">
      <c r="A149" s="3" t="str">
        <f xml:space="preserve"> A$119</f>
        <v>C_APP27027</v>
      </c>
      <c r="E149" s="41" t="str">
        <f xml:space="preserve"> E$119</f>
        <v>Net performance payment / (penalty) applied to revenue for end of period ODI adjustments ~ Business retail at 2020 FYE price base</v>
      </c>
      <c r="F149" s="41">
        <f t="shared" ref="F149:G149" si="26" xml:space="preserve"> F$119</f>
        <v>0</v>
      </c>
      <c r="G149" s="41" t="str">
        <f t="shared" si="26"/>
        <v>£m</v>
      </c>
    </row>
    <row r="150" spans="1:10" ht="4.7" hidden="1" customHeight="1" outlineLevel="1"/>
    <row r="151" spans="1:10" hidden="1" outlineLevel="1">
      <c r="E151" s="198" t="str">
        <f xml:space="preserve"> Indexation!E$111</f>
        <v>CPIH deflate from 2020 FYE to 2018 FYA</v>
      </c>
      <c r="F151" s="365">
        <f xml:space="preserve"> Indexation!F$111</f>
        <v>0.95349191826776447</v>
      </c>
      <c r="G151" s="198" t="str">
        <f xml:space="preserve"> Indexation!G$111</f>
        <v>factor</v>
      </c>
    </row>
    <row r="152" spans="1:10" ht="4.1500000000000004" hidden="1" customHeight="1" outlineLevel="1"/>
    <row r="153" spans="1:10" s="191" customFormat="1" hidden="1" outlineLevel="1">
      <c r="A153" s="191" t="s">
        <v>754</v>
      </c>
      <c r="B153" s="266"/>
      <c r="C153" s="267"/>
      <c r="E153" s="363" t="s">
        <v>307</v>
      </c>
      <c r="F153" s="191">
        <f t="shared" ref="F153:F178" si="27" xml:space="preserve"> F124 * F$151</f>
        <v>0</v>
      </c>
      <c r="G153" s="191" t="s">
        <v>174</v>
      </c>
    </row>
    <row r="154" spans="1:10" s="191" customFormat="1" hidden="1" outlineLevel="1">
      <c r="A154" s="191" t="s">
        <v>755</v>
      </c>
      <c r="B154" s="266"/>
      <c r="C154" s="267"/>
      <c r="E154" s="363" t="s">
        <v>319</v>
      </c>
      <c r="F154" s="191">
        <f t="shared" si="27"/>
        <v>1.4552389089808715</v>
      </c>
      <c r="G154" s="191" t="s">
        <v>174</v>
      </c>
    </row>
    <row r="155" spans="1:10" s="191" customFormat="1" hidden="1" outlineLevel="1">
      <c r="A155" s="191" t="s">
        <v>756</v>
      </c>
      <c r="B155" s="266"/>
      <c r="C155" s="267"/>
      <c r="E155" s="363" t="s">
        <v>335</v>
      </c>
      <c r="F155" s="191">
        <f t="shared" si="27"/>
        <v>0</v>
      </c>
      <c r="G155" s="191" t="s">
        <v>174</v>
      </c>
    </row>
    <row r="156" spans="1:10" s="191" customFormat="1" hidden="1" outlineLevel="1">
      <c r="A156" s="191" t="s">
        <v>757</v>
      </c>
      <c r="B156" s="266"/>
      <c r="C156" s="267"/>
      <c r="E156" s="363" t="s">
        <v>339</v>
      </c>
      <c r="F156" s="191">
        <f t="shared" si="27"/>
        <v>0</v>
      </c>
      <c r="G156" s="191" t="s">
        <v>174</v>
      </c>
    </row>
    <row r="157" spans="1:10" s="191" customFormat="1" hidden="1" outlineLevel="1">
      <c r="A157" s="191" t="s">
        <v>758</v>
      </c>
      <c r="B157" s="266"/>
      <c r="C157" s="267"/>
      <c r="E157" s="191" t="s">
        <v>303</v>
      </c>
      <c r="F157" s="363">
        <f t="shared" si="27"/>
        <v>0.99927639045034722</v>
      </c>
      <c r="G157" s="191" t="s">
        <v>174</v>
      </c>
      <c r="J157" s="363"/>
    </row>
    <row r="158" spans="1:10" s="191" customFormat="1" hidden="1" outlineLevel="1">
      <c r="A158" s="191" t="s">
        <v>759</v>
      </c>
      <c r="B158" s="266"/>
      <c r="C158" s="267"/>
      <c r="E158" s="191" t="s">
        <v>309</v>
      </c>
      <c r="F158" s="191">
        <f t="shared" si="27"/>
        <v>0</v>
      </c>
      <c r="G158" s="191" t="s">
        <v>174</v>
      </c>
      <c r="J158" s="363"/>
    </row>
    <row r="159" spans="1:10" s="191" customFormat="1" hidden="1" outlineLevel="1">
      <c r="A159" s="191" t="s">
        <v>760</v>
      </c>
      <c r="B159" s="266"/>
      <c r="C159" s="267"/>
      <c r="E159" s="191" t="s">
        <v>321</v>
      </c>
      <c r="F159" s="191">
        <f t="shared" si="27"/>
        <v>-14.852639963519394</v>
      </c>
      <c r="G159" s="191" t="s">
        <v>174</v>
      </c>
    </row>
    <row r="160" spans="1:10" s="191" customFormat="1" hidden="1" outlineLevel="1">
      <c r="A160" s="191" t="s">
        <v>761</v>
      </c>
      <c r="B160" s="266"/>
      <c r="C160" s="267"/>
      <c r="E160" s="191" t="s">
        <v>333</v>
      </c>
      <c r="F160" s="191">
        <f t="shared" si="27"/>
        <v>-8.2827827230531809E-2</v>
      </c>
      <c r="G160" s="191" t="s">
        <v>174</v>
      </c>
      <c r="J160" s="363"/>
    </row>
    <row r="161" spans="1:10" s="191" customFormat="1" hidden="1" outlineLevel="1">
      <c r="A161" s="191" t="s">
        <v>762</v>
      </c>
      <c r="B161" s="266"/>
      <c r="C161" s="267"/>
      <c r="E161" s="191" t="s">
        <v>337</v>
      </c>
      <c r="F161" s="191">
        <f t="shared" si="27"/>
        <v>0</v>
      </c>
      <c r="G161" s="191" t="s">
        <v>174</v>
      </c>
      <c r="J161" s="363"/>
    </row>
    <row r="162" spans="1:10" s="191" customFormat="1" hidden="1" outlineLevel="1">
      <c r="A162" s="191" t="s">
        <v>763</v>
      </c>
      <c r="B162" s="266"/>
      <c r="C162" s="267"/>
      <c r="E162" s="191" t="s">
        <v>341</v>
      </c>
      <c r="F162" s="191">
        <f t="shared" si="27"/>
        <v>0</v>
      </c>
      <c r="G162" s="191" t="s">
        <v>174</v>
      </c>
      <c r="J162" s="363"/>
    </row>
    <row r="163" spans="1:10" s="191" customFormat="1" hidden="1" outlineLevel="1">
      <c r="A163" s="191" t="s">
        <v>764</v>
      </c>
      <c r="B163" s="266"/>
      <c r="C163" s="267"/>
      <c r="E163" s="191" t="s">
        <v>331</v>
      </c>
      <c r="F163" s="191">
        <f t="shared" si="27"/>
        <v>9.9800491455560447</v>
      </c>
      <c r="G163" s="191" t="s">
        <v>174</v>
      </c>
      <c r="J163" s="363"/>
    </row>
    <row r="164" spans="1:10" s="191" customFormat="1" hidden="1" outlineLevel="1">
      <c r="A164" s="191" t="s">
        <v>765</v>
      </c>
      <c r="B164" s="266"/>
      <c r="C164" s="267"/>
      <c r="E164" s="191" t="s">
        <v>311</v>
      </c>
      <c r="F164" s="191">
        <f t="shared" si="27"/>
        <v>0</v>
      </c>
      <c r="G164" s="191" t="s">
        <v>174</v>
      </c>
      <c r="J164" s="363"/>
    </row>
    <row r="165" spans="1:10" s="191" customFormat="1" hidden="1" outlineLevel="1">
      <c r="A165" s="191" t="s">
        <v>766</v>
      </c>
      <c r="B165" s="266"/>
      <c r="C165" s="267"/>
      <c r="E165" s="191" t="s">
        <v>323</v>
      </c>
      <c r="F165" s="191">
        <f t="shared" si="27"/>
        <v>0</v>
      </c>
      <c r="G165" s="191" t="s">
        <v>174</v>
      </c>
    </row>
    <row r="166" spans="1:10" s="191" customFormat="1" hidden="1" outlineLevel="1">
      <c r="A166" s="191" t="s">
        <v>767</v>
      </c>
      <c r="B166" s="266"/>
      <c r="C166" s="267"/>
      <c r="E166" s="363" t="s">
        <v>305</v>
      </c>
      <c r="F166" s="191">
        <f t="shared" si="27"/>
        <v>0</v>
      </c>
      <c r="G166" s="191" t="s">
        <v>174</v>
      </c>
    </row>
    <row r="167" spans="1:10" s="191" customFormat="1" hidden="1" outlineLevel="1">
      <c r="A167" s="191" t="s">
        <v>768</v>
      </c>
      <c r="B167" s="266"/>
      <c r="C167" s="267"/>
      <c r="E167" s="363" t="s">
        <v>313</v>
      </c>
      <c r="F167" s="191">
        <f t="shared" si="27"/>
        <v>0</v>
      </c>
      <c r="G167" s="191" t="s">
        <v>174</v>
      </c>
    </row>
    <row r="168" spans="1:10" s="191" customFormat="1" hidden="1" outlineLevel="1">
      <c r="A168" s="191" t="s">
        <v>769</v>
      </c>
      <c r="B168" s="266"/>
      <c r="C168" s="267"/>
      <c r="E168" s="191" t="s">
        <v>325</v>
      </c>
      <c r="F168" s="191">
        <f t="shared" si="27"/>
        <v>0</v>
      </c>
      <c r="G168" s="191" t="s">
        <v>174</v>
      </c>
    </row>
    <row r="169" spans="1:10" s="191" customFormat="1" hidden="1" outlineLevel="1">
      <c r="A169" s="191" t="s">
        <v>770</v>
      </c>
      <c r="B169" s="266"/>
      <c r="C169" s="267"/>
      <c r="E169" s="191" t="s">
        <v>345</v>
      </c>
      <c r="F169" s="191">
        <f t="shared" si="27"/>
        <v>0</v>
      </c>
      <c r="G169" s="191" t="s">
        <v>174</v>
      </c>
    </row>
    <row r="170" spans="1:10" s="191" customFormat="1" hidden="1" outlineLevel="1">
      <c r="A170" s="191" t="s">
        <v>771</v>
      </c>
      <c r="B170" s="266"/>
      <c r="C170" s="267"/>
      <c r="E170" s="191" t="s">
        <v>343</v>
      </c>
      <c r="F170" s="191">
        <f t="shared" si="27"/>
        <v>0</v>
      </c>
      <c r="G170" s="191" t="s">
        <v>174</v>
      </c>
    </row>
    <row r="171" spans="1:10" s="191" customFormat="1" hidden="1" outlineLevel="1">
      <c r="A171" s="191" t="s">
        <v>772</v>
      </c>
      <c r="B171" s="266"/>
      <c r="C171" s="267"/>
      <c r="E171" s="298" t="s">
        <v>347</v>
      </c>
      <c r="F171" s="298">
        <f xml:space="preserve"> F142 * F$151</f>
        <v>0</v>
      </c>
      <c r="G171" s="288" t="s">
        <v>174</v>
      </c>
      <c r="J171" s="363"/>
    </row>
    <row r="172" spans="1:10" s="191" customFormat="1" hidden="1" outlineLevel="1">
      <c r="A172" s="191" t="s">
        <v>773</v>
      </c>
      <c r="B172" s="266"/>
      <c r="C172" s="267"/>
      <c r="E172" s="315" t="s">
        <v>349</v>
      </c>
      <c r="F172" s="315">
        <f t="shared" si="27"/>
        <v>0</v>
      </c>
      <c r="G172" s="315" t="s">
        <v>174</v>
      </c>
    </row>
    <row r="173" spans="1:10" s="191" customFormat="1" hidden="1" outlineLevel="1">
      <c r="A173" s="191" t="s">
        <v>774</v>
      </c>
      <c r="B173" s="266"/>
      <c r="C173" s="267"/>
      <c r="E173" s="191" t="s">
        <v>315</v>
      </c>
      <c r="F173" s="191">
        <f t="shared" si="27"/>
        <v>0</v>
      </c>
      <c r="G173" s="191" t="s">
        <v>174</v>
      </c>
    </row>
    <row r="174" spans="1:10" s="191" customFormat="1" hidden="1" outlineLevel="1">
      <c r="A174" s="191" t="s">
        <v>775</v>
      </c>
      <c r="B174" s="266"/>
      <c r="C174" s="267"/>
      <c r="E174" s="191" t="s">
        <v>327</v>
      </c>
      <c r="F174" s="191">
        <f t="shared" si="27"/>
        <v>0</v>
      </c>
      <c r="G174" s="191" t="s">
        <v>174</v>
      </c>
    </row>
    <row r="175" spans="1:10" s="191" customFormat="1" hidden="1" outlineLevel="1">
      <c r="A175" s="191" t="s">
        <v>776</v>
      </c>
      <c r="B175" s="266"/>
      <c r="C175" s="267"/>
      <c r="E175" s="191" t="s">
        <v>351</v>
      </c>
      <c r="F175" s="191">
        <f t="shared" si="27"/>
        <v>1.2824466300701431</v>
      </c>
      <c r="G175" s="191" t="s">
        <v>174</v>
      </c>
    </row>
    <row r="176" spans="1:10" s="191" customFormat="1" hidden="1" outlineLevel="1">
      <c r="A176" s="191" t="s">
        <v>749</v>
      </c>
      <c r="B176" s="266"/>
      <c r="C176" s="267"/>
      <c r="E176" s="191" t="s">
        <v>353</v>
      </c>
      <c r="F176" s="191">
        <f t="shared" si="27"/>
        <v>-12.482017751848689</v>
      </c>
      <c r="G176" s="191" t="s">
        <v>174</v>
      </c>
    </row>
    <row r="177" spans="1:22" s="191" customFormat="1" hidden="1" outlineLevel="1">
      <c r="A177" s="191" t="s">
        <v>777</v>
      </c>
      <c r="B177" s="266"/>
      <c r="C177" s="267"/>
      <c r="E177" s="191" t="s">
        <v>317</v>
      </c>
      <c r="F177" s="191">
        <f t="shared" si="27"/>
        <v>0</v>
      </c>
      <c r="G177" s="191" t="s">
        <v>174</v>
      </c>
    </row>
    <row r="178" spans="1:22" s="191" customFormat="1" hidden="1" outlineLevel="1">
      <c r="A178" s="191" t="s">
        <v>778</v>
      </c>
      <c r="B178" s="266"/>
      <c r="C178" s="267"/>
      <c r="E178" s="191" t="s">
        <v>329</v>
      </c>
      <c r="F178" s="191">
        <f t="shared" si="27"/>
        <v>0</v>
      </c>
      <c r="G178" s="191" t="s">
        <v>174</v>
      </c>
    </row>
    <row r="179" spans="1:22" hidden="1" outlineLevel="1"/>
    <row r="181" spans="1:22" ht="12.75" customHeight="1" collapsed="1">
      <c r="A181" s="39" t="s">
        <v>779</v>
      </c>
      <c r="B181" s="39"/>
      <c r="C181" s="40"/>
      <c r="D181" s="39"/>
      <c r="E181" s="39"/>
      <c r="F181" s="39"/>
      <c r="G181" s="39"/>
      <c r="H181" s="39"/>
      <c r="I181" s="39"/>
      <c r="J181" s="39"/>
      <c r="K181" s="39"/>
      <c r="L181" s="39"/>
      <c r="M181" s="39"/>
      <c r="N181" s="39"/>
      <c r="O181" s="39"/>
      <c r="P181" s="39"/>
      <c r="Q181" s="39"/>
      <c r="R181" s="39"/>
      <c r="S181" s="39"/>
      <c r="T181" s="39"/>
      <c r="U181" s="39"/>
      <c r="V181" s="39"/>
    </row>
    <row r="182" spans="1:22" hidden="1" outlineLevel="1"/>
    <row r="183" spans="1:22" hidden="1" outlineLevel="1">
      <c r="B183" s="10" t="s">
        <v>355</v>
      </c>
    </row>
    <row r="184" spans="1:22" hidden="1" outlineLevel="1">
      <c r="A184" s="3" t="str">
        <f>A$153</f>
        <v>C_APP27034</v>
      </c>
      <c r="E184" t="str">
        <f>E$153</f>
        <v>ODI in-period revenue adjustment ~ Water resources at 2017-18 FYA CPIH deflated price base</v>
      </c>
      <c r="F184" s="163">
        <f t="shared" ref="F184:G184" si="28">F$153</f>
        <v>0</v>
      </c>
      <c r="G184" t="str">
        <f t="shared" si="28"/>
        <v>£m</v>
      </c>
    </row>
    <row r="185" spans="1:22" hidden="1" outlineLevel="1">
      <c r="A185" s="3" t="str">
        <f>A$154</f>
        <v>C_APP27041</v>
      </c>
      <c r="E185" t="str">
        <f>E$154</f>
        <v>ODI end of period revenue adjustment ~ Water resources at 2017-18 FYA CPIH deflated price base</v>
      </c>
      <c r="F185" s="163">
        <f t="shared" ref="F185:G185" si="29">F$154</f>
        <v>1.4552389089808715</v>
      </c>
      <c r="G185" t="str">
        <f t="shared" si="29"/>
        <v>£m</v>
      </c>
    </row>
    <row r="186" spans="1:22" hidden="1" outlineLevel="1">
      <c r="A186" s="3" t="str">
        <f>A$155</f>
        <v>C_WS17027</v>
      </c>
      <c r="E186" t="str">
        <f>E$155</f>
        <v>Water trading total value of export incentive ~ Water resources at 2017-18 FYA CPIH deflated price base</v>
      </c>
      <c r="F186" s="163">
        <f t="shared" ref="F186:G186" si="30">F$155</f>
        <v>0</v>
      </c>
      <c r="G186" t="str">
        <f t="shared" si="30"/>
        <v>£m</v>
      </c>
    </row>
    <row r="187" spans="1:22" s="162" customFormat="1" hidden="1" outlineLevel="1">
      <c r="A187" s="162" t="str">
        <f>A$156</f>
        <v>C_WS17030</v>
      </c>
      <c r="C187" s="161"/>
      <c r="E187" t="str">
        <f>E$156</f>
        <v>Water trading total value of import incentive ~ Water resources  at 2017-18 FYA CPIH deflated price base</v>
      </c>
      <c r="F187" s="163">
        <f t="shared" ref="F187:G187" si="31">F$156</f>
        <v>0</v>
      </c>
      <c r="G187" t="str">
        <f t="shared" si="31"/>
        <v>£m</v>
      </c>
      <c r="H187" s="152"/>
      <c r="I187" s="152"/>
      <c r="J187" s="152"/>
      <c r="K187" s="152"/>
      <c r="L187" s="152"/>
      <c r="M187" s="152"/>
      <c r="N187" s="152"/>
      <c r="O187" s="152"/>
      <c r="P187" s="152"/>
      <c r="Q187" s="152"/>
      <c r="R187" s="152"/>
      <c r="S187" s="152"/>
      <c r="T187" s="152"/>
      <c r="U187" s="152"/>
      <c r="V187" s="152"/>
    </row>
    <row r="188" spans="1:22" s="196" customFormat="1" hidden="1" outlineLevel="1">
      <c r="A188" s="196" t="s">
        <v>780</v>
      </c>
      <c r="B188" s="194"/>
      <c r="C188" s="195"/>
      <c r="E188" s="362" t="s">
        <v>355</v>
      </c>
      <c r="F188" s="226">
        <f xml:space="preserve"> SUM(F184:F187)</f>
        <v>1.4552389089808715</v>
      </c>
      <c r="G188" s="226" t="s">
        <v>174</v>
      </c>
      <c r="H188" s="191"/>
      <c r="I188" s="191"/>
      <c r="J188" s="191"/>
      <c r="K188" s="191"/>
      <c r="L188" s="191"/>
      <c r="M188" s="191"/>
      <c r="N188" s="191"/>
      <c r="O188" s="191"/>
      <c r="P188" s="191"/>
      <c r="Q188" s="191"/>
      <c r="R188" s="191"/>
      <c r="S188" s="191"/>
      <c r="T188" s="191"/>
      <c r="U188" s="191"/>
      <c r="V188" s="191"/>
    </row>
    <row r="189" spans="1:22" hidden="1" outlineLevel="1"/>
    <row r="190" spans="1:22" hidden="1" outlineLevel="1">
      <c r="B190" s="10" t="s">
        <v>357</v>
      </c>
    </row>
    <row r="191" spans="1:22" s="162" customFormat="1" hidden="1" outlineLevel="1">
      <c r="A191" s="152" t="str">
        <f xml:space="preserve"> A$157</f>
        <v>C_APP25004</v>
      </c>
      <c r="B191" s="160"/>
      <c r="C191" s="161"/>
      <c r="E191" s="152" t="str">
        <f xml:space="preserve"> E$157</f>
        <v>Further 2010-15 reconciliation total adjustment revenue carry forward to PR19 ~ Water network plus at 2017-18 FYA CPIH deflated price base</v>
      </c>
      <c r="F191" s="152">
        <f t="shared" ref="F191:G191" si="32" xml:space="preserve"> F$157</f>
        <v>0.99927639045034722</v>
      </c>
      <c r="G191" s="152" t="str">
        <f t="shared" si="32"/>
        <v>£m</v>
      </c>
      <c r="H191" s="152"/>
      <c r="I191" s="152"/>
      <c r="J191" s="152"/>
      <c r="K191" s="152"/>
      <c r="L191" s="152"/>
      <c r="M191" s="152"/>
      <c r="N191" s="152"/>
      <c r="O191" s="152"/>
      <c r="P191" s="152"/>
      <c r="Q191" s="152"/>
      <c r="R191" s="152"/>
      <c r="S191" s="152"/>
      <c r="T191" s="152"/>
      <c r="U191" s="152"/>
      <c r="V191" s="152"/>
    </row>
    <row r="192" spans="1:22" s="162" customFormat="1" hidden="1" outlineLevel="1">
      <c r="A192" s="152" t="str">
        <f xml:space="preserve"> A$158</f>
        <v>C_APP27035</v>
      </c>
      <c r="B192" s="160"/>
      <c r="C192" s="161"/>
      <c r="E192" s="152" t="str">
        <f xml:space="preserve"> E$158</f>
        <v>ODI in-period revenue adjustment ~ Water network plus at 2017-18 FYA CPIH deflated price base</v>
      </c>
      <c r="F192" s="152">
        <f t="shared" ref="F192:G192" si="33" xml:space="preserve"> F$158</f>
        <v>0</v>
      </c>
      <c r="G192" s="152" t="str">
        <f t="shared" si="33"/>
        <v>£m</v>
      </c>
      <c r="H192" s="152"/>
      <c r="I192" s="152"/>
      <c r="J192" s="152"/>
      <c r="K192" s="152"/>
      <c r="L192" s="152"/>
      <c r="M192" s="152"/>
      <c r="N192" s="152"/>
      <c r="O192" s="152"/>
      <c r="P192" s="152"/>
      <c r="Q192" s="152"/>
      <c r="R192" s="152"/>
      <c r="S192" s="152"/>
      <c r="T192" s="152"/>
      <c r="U192" s="152"/>
      <c r="V192" s="152"/>
    </row>
    <row r="193" spans="1:22" s="162" customFormat="1" hidden="1" outlineLevel="1">
      <c r="A193" s="152" t="str">
        <f xml:space="preserve"> A$159</f>
        <v>C_APP27042</v>
      </c>
      <c r="B193" s="160"/>
      <c r="C193" s="161"/>
      <c r="E193" s="152" t="str">
        <f xml:space="preserve"> E$159</f>
        <v>ODI end of period revenue adjustment ~ Water network plus at 2017-18 FYA CPIH deflated price base</v>
      </c>
      <c r="F193" s="152">
        <f t="shared" ref="F193:G193" si="34" xml:space="preserve"> F$159</f>
        <v>-14.852639963519394</v>
      </c>
      <c r="G193" s="152" t="str">
        <f t="shared" si="34"/>
        <v>£m</v>
      </c>
      <c r="H193" s="152"/>
      <c r="I193" s="152"/>
      <c r="J193" s="152"/>
      <c r="K193" s="152"/>
      <c r="L193" s="152"/>
      <c r="M193" s="152"/>
      <c r="N193" s="152"/>
      <c r="O193" s="152"/>
      <c r="P193" s="152"/>
      <c r="Q193" s="152"/>
      <c r="R193" s="152"/>
      <c r="S193" s="152"/>
      <c r="T193" s="152"/>
      <c r="U193" s="152"/>
      <c r="V193" s="152"/>
    </row>
    <row r="194" spans="1:22" s="162" customFormat="1" hidden="1" outlineLevel="1">
      <c r="A194" s="152" t="str">
        <f xml:space="preserve"> A$160</f>
        <v>C_WS15026</v>
      </c>
      <c r="B194" s="160"/>
      <c r="C194" s="161"/>
      <c r="E194" s="152" t="str">
        <f xml:space="preserve"> E$160</f>
        <v>Water: Totex menu revenue adjustment at 2017-18 FYA CPIH deflated price base</v>
      </c>
      <c r="F194" s="152">
        <f t="shared" ref="F194:G194" si="35" xml:space="preserve"> F$160</f>
        <v>-8.2827827230531809E-2</v>
      </c>
      <c r="G194" s="152" t="str">
        <f t="shared" si="35"/>
        <v>£m</v>
      </c>
      <c r="H194" s="152"/>
      <c r="I194" s="152"/>
      <c r="J194" s="152"/>
      <c r="K194" s="152"/>
      <c r="L194" s="152"/>
      <c r="M194" s="152"/>
      <c r="N194" s="152"/>
      <c r="O194" s="152"/>
      <c r="P194" s="152"/>
      <c r="Q194" s="152"/>
      <c r="R194" s="152"/>
      <c r="S194" s="152"/>
      <c r="T194" s="152"/>
      <c r="U194" s="152"/>
      <c r="V194" s="152"/>
    </row>
    <row r="195" spans="1:22" s="162" customFormat="1" hidden="1" outlineLevel="1">
      <c r="A195" s="152" t="str">
        <f xml:space="preserve"> A$161</f>
        <v>C_WS17028</v>
      </c>
      <c r="B195" s="160"/>
      <c r="C195" s="161"/>
      <c r="E195" s="152" t="str">
        <f xml:space="preserve"> E$161</f>
        <v>Water trading total value of export incentive ~ Water network plus at 2017-18 FYA CPIH deflated price base</v>
      </c>
      <c r="F195" s="152">
        <f t="shared" ref="F195:G195" si="36" xml:space="preserve"> F$161</f>
        <v>0</v>
      </c>
      <c r="G195" s="152" t="str">
        <f t="shared" si="36"/>
        <v>£m</v>
      </c>
      <c r="H195" s="152"/>
      <c r="I195" s="152"/>
      <c r="J195" s="152"/>
      <c r="K195" s="152"/>
      <c r="L195" s="152"/>
      <c r="M195" s="152"/>
      <c r="N195" s="152"/>
      <c r="O195" s="152"/>
      <c r="P195" s="152"/>
      <c r="Q195" s="152"/>
      <c r="R195" s="152"/>
      <c r="S195" s="152"/>
      <c r="T195" s="152"/>
      <c r="U195" s="152"/>
      <c r="V195" s="152"/>
    </row>
    <row r="196" spans="1:22" s="162" customFormat="1" hidden="1" outlineLevel="1">
      <c r="A196" s="152" t="str">
        <f xml:space="preserve"> A$162</f>
        <v>C_WS17031</v>
      </c>
      <c r="B196" s="160"/>
      <c r="C196" s="161"/>
      <c r="E196" s="152" t="str">
        <f xml:space="preserve"> E$162</f>
        <v>Water trading total value of import incentive ~ Water network plus at 2017-18 FYA CPIH deflated price base</v>
      </c>
      <c r="F196" s="152">
        <f t="shared" ref="F196:G196" si="37" xml:space="preserve"> F$162</f>
        <v>0</v>
      </c>
      <c r="G196" s="152" t="str">
        <f t="shared" si="37"/>
        <v>£m</v>
      </c>
      <c r="H196" s="152"/>
      <c r="I196" s="152"/>
      <c r="J196" s="152"/>
      <c r="K196" s="152"/>
      <c r="L196" s="152"/>
      <c r="M196" s="152"/>
      <c r="N196" s="152"/>
      <c r="O196" s="152"/>
      <c r="P196" s="152"/>
      <c r="Q196" s="152"/>
      <c r="R196" s="152"/>
      <c r="S196" s="152"/>
      <c r="T196" s="152"/>
      <c r="U196" s="152"/>
      <c r="V196" s="152"/>
    </row>
    <row r="197" spans="1:22" s="162" customFormat="1" hidden="1" outlineLevel="1">
      <c r="A197" s="152" t="str">
        <f xml:space="preserve"> A$163</f>
        <v>C_WS13027</v>
      </c>
      <c r="B197" s="160"/>
      <c r="C197" s="161"/>
      <c r="E197" s="152" t="str">
        <f xml:space="preserve"> E$163</f>
        <v>WRFIM total reward / (penalty) at the end of AMP6 ~ Water network plus at 2017-18 FYA CPIH deflated price base</v>
      </c>
      <c r="F197" s="152">
        <f t="shared" ref="F197:G197" si="38" xml:space="preserve"> F$163</f>
        <v>9.9800491455560447</v>
      </c>
      <c r="G197" s="152" t="str">
        <f t="shared" si="38"/>
        <v>£m</v>
      </c>
      <c r="H197" s="152"/>
      <c r="I197" s="152"/>
      <c r="J197" s="152"/>
      <c r="K197" s="152"/>
      <c r="L197" s="152"/>
      <c r="M197" s="152"/>
      <c r="N197" s="152"/>
      <c r="O197" s="152"/>
      <c r="P197" s="152"/>
      <c r="Q197" s="152"/>
      <c r="R197" s="152"/>
      <c r="S197" s="152"/>
      <c r="T197" s="152"/>
      <c r="U197" s="152"/>
      <c r="V197" s="152"/>
    </row>
    <row r="198" spans="1:22" s="196" customFormat="1" hidden="1" outlineLevel="1">
      <c r="A198" s="196" t="s">
        <v>781</v>
      </c>
      <c r="B198" s="194"/>
      <c r="C198" s="195"/>
      <c r="E198" s="226" t="s">
        <v>357</v>
      </c>
      <c r="F198" s="226">
        <f xml:space="preserve"> SUM(F191:F197)</f>
        <v>-3.9561422547435328</v>
      </c>
      <c r="G198" s="226" t="s">
        <v>174</v>
      </c>
      <c r="H198" s="191"/>
      <c r="I198" s="191"/>
      <c r="J198" s="363"/>
      <c r="K198" s="191"/>
      <c r="L198" s="191"/>
      <c r="M198" s="191"/>
      <c r="N198" s="191"/>
      <c r="O198" s="191"/>
      <c r="P198" s="191"/>
      <c r="Q198" s="191"/>
      <c r="R198" s="191"/>
      <c r="S198" s="191"/>
      <c r="T198" s="191"/>
      <c r="U198" s="191"/>
      <c r="V198" s="191"/>
    </row>
    <row r="199" spans="1:22" hidden="1" outlineLevel="1"/>
    <row r="200" spans="1:22" hidden="1" outlineLevel="1">
      <c r="B200" s="10" t="s">
        <v>359</v>
      </c>
    </row>
    <row r="201" spans="1:22" s="196" customFormat="1" hidden="1" outlineLevel="1">
      <c r="A201" s="41" t="str">
        <f>A$164</f>
        <v>C_APP27037</v>
      </c>
      <c r="B201" s="194"/>
      <c r="C201" s="195"/>
      <c r="E201" s="41" t="str">
        <f>E$164</f>
        <v>ODI in-period revenue adjustment ~ Bioresources at 2017-18 FYA CPIH deflated price base</v>
      </c>
      <c r="F201" s="41">
        <f t="shared" ref="F201:G201" si="39">F$164</f>
        <v>0</v>
      </c>
      <c r="G201" s="41" t="str">
        <f t="shared" si="39"/>
        <v>£m</v>
      </c>
      <c r="H201" s="191"/>
      <c r="I201" s="191"/>
      <c r="J201" s="191"/>
      <c r="K201" s="191"/>
      <c r="L201" s="191"/>
      <c r="M201" s="191"/>
      <c r="N201" s="191"/>
      <c r="O201" s="191"/>
      <c r="P201" s="191"/>
      <c r="Q201" s="191"/>
      <c r="R201" s="191"/>
      <c r="S201" s="191"/>
      <c r="T201" s="191"/>
      <c r="U201" s="191"/>
      <c r="V201" s="191"/>
    </row>
    <row r="202" spans="1:22" s="196" customFormat="1" hidden="1" outlineLevel="1">
      <c r="A202" s="41" t="str">
        <f>A$165</f>
        <v>C_APP27044</v>
      </c>
      <c r="B202" s="194"/>
      <c r="C202" s="195"/>
      <c r="E202" s="41" t="str">
        <f>E$165</f>
        <v>ODI end of period revenue adjustment ~ Bioresources at 2017-18 FYA CPIH deflated price base</v>
      </c>
      <c r="F202" s="41">
        <f t="shared" ref="F202:G202" si="40">F$165</f>
        <v>0</v>
      </c>
      <c r="G202" s="41" t="str">
        <f t="shared" si="40"/>
        <v>£m</v>
      </c>
      <c r="H202" s="41"/>
      <c r="I202" s="41"/>
      <c r="J202" s="41"/>
      <c r="K202" s="41"/>
      <c r="L202" s="41"/>
      <c r="M202" s="41"/>
      <c r="N202" s="41"/>
      <c r="O202" s="41"/>
      <c r="P202" s="41"/>
      <c r="Q202" s="41"/>
      <c r="R202" s="41"/>
      <c r="S202" s="41"/>
      <c r="T202" s="41"/>
      <c r="U202" s="41"/>
      <c r="V202" s="41"/>
    </row>
    <row r="203" spans="1:22" s="196" customFormat="1" hidden="1" outlineLevel="1">
      <c r="A203" s="196" t="s">
        <v>782</v>
      </c>
      <c r="B203" s="194"/>
      <c r="C203" s="195"/>
      <c r="E203" s="362" t="s">
        <v>359</v>
      </c>
      <c r="F203" s="226">
        <f xml:space="preserve"> SUM(F201:F202)</f>
        <v>0</v>
      </c>
      <c r="G203" s="226" t="s">
        <v>174</v>
      </c>
      <c r="H203" s="191"/>
      <c r="I203" s="191"/>
      <c r="J203" s="191"/>
      <c r="K203" s="191"/>
      <c r="L203" s="191"/>
      <c r="M203" s="191"/>
      <c r="N203" s="191"/>
      <c r="O203" s="191"/>
      <c r="P203" s="191"/>
      <c r="Q203" s="191"/>
      <c r="R203" s="191"/>
      <c r="S203" s="191"/>
      <c r="T203" s="191"/>
      <c r="U203" s="191"/>
      <c r="V203" s="191"/>
    </row>
    <row r="204" spans="1:22" hidden="1" outlineLevel="1"/>
    <row r="205" spans="1:22" hidden="1" outlineLevel="1">
      <c r="B205" s="10" t="s">
        <v>361</v>
      </c>
    </row>
    <row r="206" spans="1:22" s="196" customFormat="1" hidden="1" outlineLevel="1">
      <c r="A206" s="41" t="str">
        <f xml:space="preserve"> A$166</f>
        <v>C_APP25006</v>
      </c>
      <c r="B206" s="194"/>
      <c r="C206" s="195"/>
      <c r="E206" s="41" t="str">
        <f xml:space="preserve"> E$166</f>
        <v>Further 2010-15 reconciliation total adjustment revenue carry forward to PR19 ~ Wastewater network plus at 2017-18 FYA CPIH deflated price base</v>
      </c>
      <c r="F206" s="41">
        <f t="shared" ref="F206:G206" si="41" xml:space="preserve"> F$166</f>
        <v>0</v>
      </c>
      <c r="G206" s="41" t="str">
        <f t="shared" si="41"/>
        <v>£m</v>
      </c>
      <c r="H206" s="191"/>
      <c r="I206" s="191"/>
      <c r="J206" s="191"/>
      <c r="K206" s="191"/>
      <c r="L206" s="191"/>
      <c r="M206" s="191"/>
      <c r="N206" s="191"/>
      <c r="O206" s="191"/>
      <c r="P206" s="191"/>
      <c r="Q206" s="191"/>
      <c r="R206" s="191"/>
      <c r="S206" s="191"/>
      <c r="T206" s="191"/>
      <c r="U206" s="191"/>
      <c r="V206" s="191"/>
    </row>
    <row r="207" spans="1:22" s="196" customFormat="1" hidden="1" outlineLevel="1">
      <c r="A207" s="41" t="str">
        <f xml:space="preserve"> A$169</f>
        <v>C_WWS15021</v>
      </c>
      <c r="B207" s="194"/>
      <c r="C207" s="195"/>
      <c r="E207" s="41" t="str">
        <f xml:space="preserve"> E$169</f>
        <v>Wastewater: Totex menu revenue adjustment at 2017-18 FYA CPIH deflated price base</v>
      </c>
      <c r="F207" s="41">
        <f t="shared" ref="F207:G207" si="42" xml:space="preserve"> F$169</f>
        <v>0</v>
      </c>
      <c r="G207" s="41" t="str">
        <f t="shared" si="42"/>
        <v>£m</v>
      </c>
      <c r="H207" s="191"/>
      <c r="I207" s="191"/>
      <c r="J207" s="191"/>
      <c r="K207" s="191"/>
      <c r="L207" s="191"/>
      <c r="M207" s="191"/>
      <c r="N207" s="191"/>
      <c r="O207" s="191"/>
      <c r="P207" s="191"/>
      <c r="Q207" s="191"/>
      <c r="R207" s="191"/>
      <c r="S207" s="191"/>
      <c r="T207" s="191"/>
      <c r="U207" s="191"/>
      <c r="V207" s="191"/>
    </row>
    <row r="208" spans="1:22" s="196" customFormat="1" hidden="1" outlineLevel="1">
      <c r="A208" s="41" t="str">
        <f xml:space="preserve"> A$167</f>
        <v>C_APP27036</v>
      </c>
      <c r="B208" s="194"/>
      <c r="C208" s="195"/>
      <c r="E208" s="41" t="str">
        <f xml:space="preserve"> E$167</f>
        <v>ODI in-period revenue adjustment ~ Wastewater network plus at 2017-18 FYA CPIH deflated price base</v>
      </c>
      <c r="F208" s="41">
        <f t="shared" ref="F208:G208" si="43" xml:space="preserve"> F$167</f>
        <v>0</v>
      </c>
      <c r="G208" s="41" t="str">
        <f t="shared" si="43"/>
        <v>£m</v>
      </c>
      <c r="H208" s="191"/>
      <c r="I208" s="191"/>
      <c r="J208" s="191"/>
      <c r="K208" s="191"/>
      <c r="L208" s="191"/>
      <c r="M208" s="191"/>
      <c r="N208" s="191"/>
      <c r="O208" s="191"/>
      <c r="P208" s="191"/>
      <c r="Q208" s="191"/>
      <c r="R208" s="191"/>
      <c r="S208" s="191"/>
      <c r="T208" s="191"/>
      <c r="U208" s="191"/>
      <c r="V208" s="191"/>
    </row>
    <row r="209" spans="1:22" s="196" customFormat="1" hidden="1" outlineLevel="1">
      <c r="A209" s="41" t="str">
        <f xml:space="preserve"> A$168</f>
        <v>C_APP27043</v>
      </c>
      <c r="B209" s="194"/>
      <c r="C209" s="195"/>
      <c r="E209" s="41" t="str">
        <f xml:space="preserve"> E$168</f>
        <v>ODI end of period revenue adjustment ~ Wastewater network plus at 2017-18 FYA CPIH deflated price base</v>
      </c>
      <c r="F209" s="41">
        <f t="shared" ref="F209:G209" si="44" xml:space="preserve"> F$168</f>
        <v>0</v>
      </c>
      <c r="G209" s="41" t="str">
        <f t="shared" si="44"/>
        <v>£m</v>
      </c>
      <c r="H209" s="191"/>
      <c r="I209" s="191"/>
      <c r="J209" s="191"/>
      <c r="K209" s="191"/>
      <c r="L209" s="191"/>
      <c r="M209" s="191"/>
      <c r="N209" s="191"/>
      <c r="O209" s="191"/>
      <c r="P209" s="191"/>
      <c r="Q209" s="191"/>
      <c r="R209" s="191"/>
      <c r="S209" s="191"/>
      <c r="T209" s="191"/>
      <c r="U209" s="191"/>
      <c r="V209" s="191"/>
    </row>
    <row r="210" spans="1:22" s="196" customFormat="1" hidden="1" outlineLevel="1">
      <c r="A210" s="41" t="str">
        <f xml:space="preserve"> A$170</f>
        <v>C_WWS13027</v>
      </c>
      <c r="B210" s="194"/>
      <c r="C210" s="195"/>
      <c r="E210" s="41" t="str">
        <f xml:space="preserve"> E$170</f>
        <v>WRFIM total reward / (penalty) at the end of AMP6 ~ Wastewater network plus at 2017-18 FYA CPIH deflated price base</v>
      </c>
      <c r="F210" s="41">
        <f t="shared" ref="F210:G210" si="45" xml:space="preserve"> F$170</f>
        <v>0</v>
      </c>
      <c r="G210" s="41" t="str">
        <f t="shared" si="45"/>
        <v>£m</v>
      </c>
      <c r="H210" s="41"/>
      <c r="I210" s="41"/>
      <c r="J210" s="41"/>
      <c r="K210" s="41"/>
      <c r="L210" s="41"/>
      <c r="M210" s="41"/>
      <c r="N210" s="41"/>
      <c r="O210" s="41"/>
      <c r="P210" s="41"/>
      <c r="Q210" s="41"/>
      <c r="R210" s="41"/>
      <c r="S210" s="41"/>
      <c r="T210" s="41"/>
      <c r="U210" s="41"/>
      <c r="V210" s="41"/>
    </row>
    <row r="211" spans="1:22" s="196" customFormat="1" hidden="1" outlineLevel="1">
      <c r="A211" s="196" t="s">
        <v>783</v>
      </c>
      <c r="B211" s="194"/>
      <c r="C211" s="195"/>
      <c r="E211" s="362" t="s">
        <v>361</v>
      </c>
      <c r="F211" s="226">
        <f xml:space="preserve"> SUM(F206:F210)</f>
        <v>0</v>
      </c>
      <c r="G211" s="226" t="s">
        <v>174</v>
      </c>
      <c r="H211" s="191"/>
      <c r="I211" s="191"/>
      <c r="J211" s="363"/>
      <c r="K211" s="191"/>
      <c r="L211" s="191"/>
      <c r="M211" s="191"/>
      <c r="N211" s="191"/>
      <c r="O211" s="191"/>
      <c r="P211" s="191"/>
      <c r="Q211" s="191"/>
      <c r="R211" s="191"/>
      <c r="S211" s="191"/>
      <c r="T211" s="191"/>
      <c r="U211" s="191"/>
      <c r="V211" s="191"/>
    </row>
    <row r="212" spans="1:22" hidden="1" outlineLevel="1"/>
    <row r="213" spans="1:22" hidden="1" outlineLevel="1">
      <c r="B213" s="10" t="s">
        <v>784</v>
      </c>
    </row>
    <row r="214" spans="1:22" s="196" customFormat="1" hidden="1" outlineLevel="1">
      <c r="A214" s="3" t="str">
        <f>A$171</f>
        <v>C_WWS15021_DMMY</v>
      </c>
      <c r="B214" s="194"/>
      <c r="C214" s="195"/>
      <c r="E214" s="299" t="str">
        <f>E$171</f>
        <v>Dummy: revenue adjustment from totex menu model at 2017-18 FYA CPIH deflated price base</v>
      </c>
      <c r="F214" s="286">
        <f>F$171</f>
        <v>0</v>
      </c>
      <c r="G214" s="286" t="str">
        <f>G$171</f>
        <v>£m</v>
      </c>
      <c r="H214" s="191"/>
      <c r="I214" s="191"/>
      <c r="J214" s="191"/>
      <c r="K214" s="191"/>
      <c r="L214" s="191"/>
      <c r="M214" s="191"/>
      <c r="N214" s="191"/>
      <c r="O214" s="191"/>
      <c r="P214" s="191"/>
      <c r="Q214" s="191"/>
      <c r="R214" s="191"/>
      <c r="S214" s="191"/>
      <c r="T214" s="191"/>
      <c r="U214" s="191"/>
      <c r="V214" s="191"/>
    </row>
    <row r="215" spans="1:22" s="196" customFormat="1" hidden="1" outlineLevel="1">
      <c r="A215" s="3" t="str">
        <f>A$172</f>
        <v>C_WWS13027_DMMY</v>
      </c>
      <c r="B215" s="194"/>
      <c r="C215" s="195"/>
      <c r="E215" s="313" t="str">
        <f>E$172</f>
        <v>WRFIM total reward / (penalty) at the end of AMP6 ~ Dummy at 2017-18 FYA CPIH deflated price base</v>
      </c>
      <c r="F215" s="313">
        <f t="shared" ref="F215:G215" si="46">F$172</f>
        <v>0</v>
      </c>
      <c r="G215" s="313" t="str">
        <f t="shared" si="46"/>
        <v>£m</v>
      </c>
      <c r="H215" s="191"/>
      <c r="I215" s="191"/>
      <c r="J215" s="191"/>
      <c r="K215" s="191"/>
      <c r="L215" s="191"/>
      <c r="M215" s="191"/>
      <c r="N215" s="191"/>
      <c r="O215" s="191"/>
      <c r="P215" s="191"/>
      <c r="Q215" s="191"/>
      <c r="R215" s="191"/>
      <c r="S215" s="191"/>
      <c r="T215" s="191"/>
      <c r="U215" s="191"/>
      <c r="V215" s="191"/>
    </row>
    <row r="216" spans="1:22" s="196" customFormat="1" hidden="1" outlineLevel="1">
      <c r="A216" s="196" t="s">
        <v>785</v>
      </c>
      <c r="B216" s="194"/>
      <c r="C216" s="195"/>
      <c r="E216" s="289" t="s">
        <v>363</v>
      </c>
      <c r="F216" s="314">
        <f xml:space="preserve"> SUM(F214:F215)</f>
        <v>0</v>
      </c>
      <c r="G216" s="289" t="s">
        <v>174</v>
      </c>
      <c r="H216" s="191"/>
      <c r="I216" s="191"/>
      <c r="J216" s="363"/>
      <c r="K216" s="191"/>
      <c r="L216" s="191"/>
      <c r="M216" s="191"/>
      <c r="N216" s="191"/>
      <c r="O216" s="191"/>
      <c r="P216" s="191"/>
      <c r="Q216" s="191"/>
      <c r="R216" s="191"/>
      <c r="S216" s="191"/>
      <c r="T216" s="191"/>
      <c r="U216" s="191"/>
      <c r="V216" s="191"/>
    </row>
    <row r="217" spans="1:22" hidden="1" outlineLevel="1"/>
    <row r="218" spans="1:22" hidden="1" outlineLevel="1">
      <c r="B218" s="10" t="s">
        <v>365</v>
      </c>
    </row>
    <row r="219" spans="1:22" hidden="1" outlineLevel="1">
      <c r="A219" s="41" t="str">
        <f xml:space="preserve"> A$173</f>
        <v>C_APP27038</v>
      </c>
      <c r="E219" s="41" t="str">
        <f xml:space="preserve"> E$173</f>
        <v>ODI in-period revenue adjustment ~ Residential retail at 2017-18 FYA CPIH deflated price base</v>
      </c>
      <c r="F219" s="41">
        <f t="shared" ref="F219:G219" si="47" xml:space="preserve"> F$173</f>
        <v>0</v>
      </c>
      <c r="G219" s="41" t="str">
        <f t="shared" si="47"/>
        <v>£m</v>
      </c>
      <c r="H219" s="41"/>
      <c r="I219" s="41"/>
      <c r="J219" s="41"/>
      <c r="K219" s="41"/>
      <c r="L219" s="41"/>
      <c r="M219" s="41"/>
      <c r="N219" s="41"/>
      <c r="O219" s="41"/>
      <c r="P219" s="41"/>
      <c r="Q219" s="41"/>
      <c r="R219" s="41"/>
      <c r="S219" s="41"/>
      <c r="T219" s="41"/>
      <c r="U219" s="41"/>
      <c r="V219" s="41"/>
    </row>
    <row r="220" spans="1:22" hidden="1" outlineLevel="1">
      <c r="A220" s="41" t="str">
        <f xml:space="preserve"> A$174</f>
        <v>C_APP27045</v>
      </c>
      <c r="E220" s="41" t="str">
        <f xml:space="preserve"> E$174</f>
        <v>ODI end of period revenue adjustment ~ Residential retail at 2017-18 FYA CPIH deflated price base</v>
      </c>
      <c r="F220" s="41">
        <f t="shared" ref="F220:G220" si="48" xml:space="preserve"> F$174</f>
        <v>0</v>
      </c>
      <c r="G220" s="41" t="str">
        <f t="shared" si="48"/>
        <v>£m</v>
      </c>
      <c r="H220" s="41"/>
      <c r="I220" s="41"/>
      <c r="J220" s="41"/>
      <c r="K220" s="41"/>
      <c r="L220" s="41"/>
      <c r="M220" s="41"/>
      <c r="N220" s="41"/>
      <c r="O220" s="41"/>
      <c r="P220" s="41"/>
      <c r="Q220" s="41"/>
      <c r="R220" s="41"/>
      <c r="S220" s="41"/>
      <c r="T220" s="41"/>
      <c r="U220" s="41"/>
      <c r="V220" s="41"/>
    </row>
    <row r="221" spans="1:22" hidden="1" outlineLevel="1">
      <c r="A221" s="41" t="str">
        <f xml:space="preserve"> A$175</f>
        <v>C_R9046</v>
      </c>
      <c r="E221" s="41" t="str">
        <f xml:space="preserve"> E$175</f>
        <v>Residential retail revenue adjustment at 2017-18 FYA CPIH deflated price base</v>
      </c>
      <c r="F221" s="41">
        <f t="shared" ref="F221:G221" si="49" xml:space="preserve"> F$175</f>
        <v>1.2824466300701431</v>
      </c>
      <c r="G221" s="41" t="str">
        <f t="shared" si="49"/>
        <v>£m</v>
      </c>
      <c r="H221" s="41"/>
      <c r="I221" s="41"/>
      <c r="J221" s="41"/>
      <c r="K221" s="41"/>
      <c r="L221" s="41"/>
      <c r="M221" s="41"/>
      <c r="N221" s="41"/>
      <c r="O221" s="41"/>
      <c r="P221" s="41"/>
      <c r="Q221" s="41"/>
      <c r="R221" s="41"/>
      <c r="S221" s="41"/>
      <c r="T221" s="41"/>
      <c r="U221" s="41"/>
      <c r="V221" s="41"/>
    </row>
    <row r="222" spans="1:22" hidden="1" outlineLevel="1">
      <c r="A222" s="41" t="str">
        <f xml:space="preserve"> A$176</f>
        <v>C_R10009</v>
      </c>
      <c r="E222" s="41" t="str">
        <f xml:space="preserve"> E$176</f>
        <v>SIM forecast revenue adjustment at 2017-18 FYA CPIH deflated price base</v>
      </c>
      <c r="F222" s="41">
        <f t="shared" ref="F222:G222" si="50" xml:space="preserve"> F$176</f>
        <v>-12.482017751848689</v>
      </c>
      <c r="G222" s="41" t="str">
        <f t="shared" si="50"/>
        <v>£m</v>
      </c>
      <c r="H222" s="41"/>
      <c r="I222" s="41"/>
      <c r="J222" s="41"/>
      <c r="K222" s="41"/>
      <c r="L222" s="41"/>
      <c r="M222" s="41"/>
      <c r="N222" s="41"/>
      <c r="O222" s="41"/>
      <c r="P222" s="41"/>
      <c r="Q222" s="41"/>
      <c r="R222" s="41"/>
      <c r="S222" s="41"/>
      <c r="T222" s="41"/>
      <c r="U222" s="41"/>
      <c r="V222" s="41"/>
    </row>
    <row r="223" spans="1:22" s="196" customFormat="1" hidden="1" outlineLevel="1">
      <c r="A223" s="196" t="s">
        <v>786</v>
      </c>
      <c r="B223" s="194"/>
      <c r="C223" s="195"/>
      <c r="E223" s="226" t="s">
        <v>365</v>
      </c>
      <c r="F223" s="226">
        <f xml:space="preserve"> SUM(F219:F222)</f>
        <v>-11.199571121778545</v>
      </c>
      <c r="G223" s="226" t="s">
        <v>174</v>
      </c>
      <c r="H223" s="191"/>
      <c r="I223" s="191"/>
      <c r="J223" s="191"/>
      <c r="K223" s="191"/>
      <c r="L223" s="191"/>
      <c r="M223" s="191"/>
      <c r="N223" s="191"/>
      <c r="O223" s="191"/>
      <c r="P223" s="191"/>
      <c r="Q223" s="191"/>
      <c r="R223" s="191"/>
      <c r="S223" s="191"/>
      <c r="T223" s="191"/>
      <c r="U223" s="191"/>
      <c r="V223" s="191"/>
    </row>
    <row r="224" spans="1:22" hidden="1" outlineLevel="1"/>
    <row r="225" spans="1:22" hidden="1" outlineLevel="1">
      <c r="B225" s="10" t="s">
        <v>367</v>
      </c>
    </row>
    <row r="226" spans="1:22" hidden="1" outlineLevel="1">
      <c r="A226" s="41" t="str">
        <f xml:space="preserve"> A$177</f>
        <v>C_APP27039</v>
      </c>
      <c r="E226" s="41" t="str">
        <f xml:space="preserve"> E$177</f>
        <v>ODI in-period revenue adjustment ~ Business retail at 2017-18 FYA CPIH deflated price base</v>
      </c>
      <c r="F226" s="41">
        <f xml:space="preserve"> F$177</f>
        <v>0</v>
      </c>
      <c r="G226" s="41"/>
      <c r="H226" s="41"/>
      <c r="I226" s="41"/>
      <c r="J226" s="41"/>
      <c r="K226" s="41"/>
      <c r="L226" s="41"/>
      <c r="M226" s="41"/>
      <c r="N226" s="41"/>
      <c r="O226" s="41"/>
      <c r="P226" s="41"/>
      <c r="Q226" s="41"/>
      <c r="R226" s="41"/>
      <c r="S226" s="41"/>
      <c r="T226" s="41"/>
      <c r="U226" s="41"/>
      <c r="V226" s="41"/>
    </row>
    <row r="227" spans="1:22" hidden="1" outlineLevel="1">
      <c r="A227" s="41" t="str">
        <f xml:space="preserve"> A$178</f>
        <v>C_APP27046</v>
      </c>
      <c r="E227" s="41" t="str">
        <f xml:space="preserve"> E$178</f>
        <v>ODI end of period revenue adjustment ~ Business retail at 2017-18 FYA CPIH deflated price base</v>
      </c>
      <c r="F227" s="41">
        <f xml:space="preserve"> F$178</f>
        <v>0</v>
      </c>
      <c r="G227" s="41"/>
      <c r="H227" s="41"/>
      <c r="I227" s="41"/>
      <c r="J227" s="41"/>
      <c r="K227" s="41"/>
      <c r="L227" s="41"/>
      <c r="M227" s="41"/>
      <c r="N227" s="41"/>
      <c r="O227" s="41"/>
      <c r="P227" s="41"/>
      <c r="Q227" s="41"/>
      <c r="R227" s="41"/>
      <c r="S227" s="41"/>
      <c r="T227" s="41"/>
      <c r="U227" s="41"/>
      <c r="V227" s="41"/>
    </row>
    <row r="228" spans="1:22" s="196" customFormat="1" hidden="1" outlineLevel="1">
      <c r="A228" s="196" t="s">
        <v>787</v>
      </c>
      <c r="B228" s="194"/>
      <c r="C228" s="195"/>
      <c r="E228" s="226" t="s">
        <v>367</v>
      </c>
      <c r="F228" s="226">
        <f xml:space="preserve"> SUM(F226:F227)</f>
        <v>0</v>
      </c>
      <c r="G228" s="226" t="s">
        <v>174</v>
      </c>
      <c r="H228" s="191"/>
      <c r="I228" s="191"/>
      <c r="J228" s="191"/>
      <c r="K228" s="191"/>
      <c r="L228" s="191"/>
      <c r="M228" s="191"/>
      <c r="N228" s="191"/>
      <c r="O228" s="191"/>
      <c r="P228" s="191"/>
      <c r="Q228" s="191"/>
      <c r="R228" s="191"/>
      <c r="S228" s="191"/>
      <c r="T228" s="191"/>
      <c r="U228" s="191"/>
      <c r="V228" s="191"/>
    </row>
    <row r="229" spans="1:22" hidden="1" outlineLevel="1"/>
  </sheetData>
  <conditionalFormatting sqref="F1">
    <cfRule type="expression" dxfId="26" priority="5">
      <formula xml:space="preserve"> $F$1 = "Notionalised"</formula>
    </cfRule>
  </conditionalFormatting>
  <conditionalFormatting sqref="G1">
    <cfRule type="expression" dxfId="25" priority="4">
      <formula xml:space="preserve"> $F$1 = "Notionalised"</formula>
    </cfRule>
  </conditionalFormatting>
  <conditionalFormatting sqref="F2">
    <cfRule type="cellIs" dxfId="2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5" stopIfTrue="1" operator="equal" id="{B033931C-8499-458C-A6D6-5035ED671C24}">
            <xm:f>Inputs!$F$21</xm:f>
            <x14:dxf>
              <fill>
                <patternFill>
                  <bgColor indexed="44"/>
                </patternFill>
              </fill>
            </x14:dxf>
          </x14:cfRule>
          <x14:cfRule type="cellIs" priority="2886" stopIfTrue="1" operator="equal" id="{68AA9A3B-65D1-4101-8B03-098B09EE41C5}">
            <xm:f>Inputs!$F$20</xm:f>
            <x14:dxf>
              <fill>
                <patternFill>
                  <bgColor indexed="47"/>
                </patternFill>
              </fill>
            </x14:dxf>
          </x14:cfRule>
          <xm:sqref>J3:V3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V248"/>
  <sheetViews>
    <sheetView showGridLines="0" defaultGridColor="0" colorId="22" zoomScale="80" zoomScaleNormal="80" workbookViewId="0">
      <pane xSplit="9" ySplit="5" topLeftCell="J199" activePane="bottomRight" state="frozen"/>
      <selection pane="bottomRight" activeCell="I246" sqref="I246"/>
      <selection pane="bottomLeft" activeCell="F2" sqref="F2"/>
      <selection pane="topRight" activeCell="F2" sqref="F2"/>
    </sheetView>
  </sheetViews>
  <sheetFormatPr defaultColWidth="0" defaultRowHeight="12.75" outlineLevelRow="2"/>
  <cols>
    <col min="1" max="1" width="20.7109375" style="10" customWidth="1"/>
    <col min="2"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c r="A1" s="26" t="e">
        <f ca="1" xml:space="preserve"> RIGHT(CELL("filename", $A$1), LEN(CELL("filename", $A$1)) - SEARCH("]", CELL("filename", $A$1)))</f>
        <v>#VALUE!</v>
      </c>
      <c r="B1" s="26"/>
      <c r="C1" s="27"/>
      <c r="D1" s="1"/>
      <c r="E1" s="1"/>
      <c r="F1" s="142"/>
      <c r="G1" s="143"/>
      <c r="H1" s="139"/>
      <c r="I1" s="1"/>
      <c r="J1" s="88"/>
      <c r="K1" s="1"/>
      <c r="L1" s="1"/>
      <c r="M1" s="1"/>
      <c r="N1" s="1"/>
      <c r="O1" s="1"/>
      <c r="P1" s="1"/>
      <c r="Q1" s="1"/>
      <c r="R1" s="1"/>
      <c r="S1" s="1"/>
      <c r="T1" s="1"/>
      <c r="U1" s="1"/>
      <c r="V1" s="1"/>
    </row>
    <row r="2" spans="1:22" ht="12.75" customHeight="1">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c r="E5" s="3" t="str">
        <f xml:space="preserve"> Time!E$10</f>
        <v>Model column counter</v>
      </c>
      <c r="F5" s="29" t="s">
        <v>538</v>
      </c>
      <c r="G5" s="10" t="s">
        <v>105</v>
      </c>
      <c r="H5" s="29" t="s">
        <v>539</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 r="A7" s="39" t="s">
        <v>788</v>
      </c>
      <c r="B7" s="39"/>
      <c r="C7" s="40"/>
      <c r="D7" s="39"/>
      <c r="E7" s="39"/>
      <c r="F7" s="39"/>
      <c r="G7" s="39"/>
      <c r="H7" s="39"/>
      <c r="I7" s="39"/>
      <c r="J7" s="39"/>
      <c r="K7" s="39"/>
      <c r="L7" s="39"/>
      <c r="M7" s="39"/>
      <c r="N7" s="39"/>
      <c r="O7" s="39"/>
      <c r="P7" s="39"/>
      <c r="Q7" s="39"/>
      <c r="R7" s="39"/>
      <c r="S7" s="39"/>
      <c r="T7" s="39"/>
      <c r="U7" s="39"/>
      <c r="V7" s="39"/>
    </row>
    <row r="8" spans="1:22" outlineLevel="1"/>
    <row r="9" spans="1:22" s="222" customFormat="1" ht="12.75" customHeight="1" outlineLevel="1">
      <c r="A9" s="21" t="str">
        <f xml:space="preserve"> Inputs!A$134</f>
        <v>C020</v>
      </c>
      <c r="B9" s="220"/>
      <c r="C9" s="221"/>
      <c r="D9" s="20"/>
      <c r="E9" s="21" t="str">
        <f xml:space="preserve"> Inputs!E$134</f>
        <v>PV base date</v>
      </c>
      <c r="F9" s="21">
        <f xml:space="preserve"> Inputs!F$134</f>
        <v>44286</v>
      </c>
      <c r="G9" s="21" t="str">
        <f xml:space="preserve"> Inputs!G$134</f>
        <v>date</v>
      </c>
      <c r="H9" s="20"/>
      <c r="I9" s="20"/>
      <c r="J9" s="20"/>
      <c r="K9" s="20"/>
      <c r="L9" s="20"/>
      <c r="M9" s="20"/>
      <c r="N9" s="20"/>
      <c r="O9" s="20"/>
      <c r="P9" s="20"/>
      <c r="Q9" s="20"/>
      <c r="R9" s="20"/>
      <c r="S9" s="20"/>
      <c r="T9" s="20"/>
      <c r="U9" s="20"/>
      <c r="V9" s="20"/>
    </row>
    <row r="10" spans="1:22" ht="12.75" customHeight="1" outlineLevel="1">
      <c r="A10" s="12" t="str">
        <f xml:space="preserve"> Inputs!A$163</f>
        <v>C019</v>
      </c>
      <c r="D10" s="17"/>
      <c r="E10" s="12" t="str">
        <f xml:space="preserve"> Inputs!E$163</f>
        <v>Days in a year</v>
      </c>
      <c r="F10" s="12">
        <f xml:space="preserve"> Inputs!F$163</f>
        <v>365</v>
      </c>
      <c r="G10" s="12" t="str">
        <f xml:space="preserve"> Inputs!G$163</f>
        <v>days</v>
      </c>
      <c r="H10" s="3"/>
      <c r="I10" s="3"/>
      <c r="J10" s="3"/>
      <c r="K10" s="3"/>
      <c r="L10" s="3"/>
      <c r="M10" s="3"/>
      <c r="N10" s="3"/>
      <c r="O10" s="3"/>
      <c r="P10" s="3"/>
      <c r="Q10" s="3"/>
      <c r="R10" s="3"/>
      <c r="S10" s="3"/>
      <c r="T10" s="3"/>
      <c r="U10" s="3"/>
      <c r="V10" s="3"/>
    </row>
    <row r="11" spans="1:22" s="193" customFormat="1" ht="12.75" customHeight="1" outlineLevel="1">
      <c r="A11" s="193">
        <f xml:space="preserve"> Time!A$25</f>
        <v>0</v>
      </c>
      <c r="B11" s="210"/>
      <c r="C11" s="211"/>
      <c r="E11" s="193" t="str">
        <f xml:space="preserve"> Time!E$25</f>
        <v>Model period ending</v>
      </c>
      <c r="F11" s="193">
        <f xml:space="preserve"> Time!F$25</f>
        <v>0</v>
      </c>
      <c r="G11" s="193" t="str">
        <f xml:space="preserve"> Time!G$25</f>
        <v>date</v>
      </c>
      <c r="H11" s="193">
        <f xml:space="preserve"> Time!H$25</f>
        <v>0</v>
      </c>
      <c r="I11" s="193">
        <f xml:space="preserve"> Time!I$25</f>
        <v>0</v>
      </c>
      <c r="J11" s="193">
        <f xml:space="preserve"> Time!J$25</f>
        <v>41364</v>
      </c>
      <c r="K11" s="193">
        <f xml:space="preserve"> Time!K$25</f>
        <v>41729</v>
      </c>
      <c r="L11" s="193">
        <f xml:space="preserve"> Time!L$25</f>
        <v>42094</v>
      </c>
      <c r="M11" s="193">
        <f xml:space="preserve"> Time!M$25</f>
        <v>42460</v>
      </c>
      <c r="N11" s="193">
        <f xml:space="preserve"> Time!N$25</f>
        <v>42825</v>
      </c>
      <c r="O11" s="193">
        <f xml:space="preserve"> Time!O$25</f>
        <v>43190</v>
      </c>
      <c r="P11" s="193">
        <f xml:space="preserve"> Time!P$25</f>
        <v>43555</v>
      </c>
      <c r="Q11" s="193">
        <f xml:space="preserve"> Time!Q$25</f>
        <v>43921</v>
      </c>
      <c r="R11" s="193">
        <f xml:space="preserve"> Time!R$25</f>
        <v>44286</v>
      </c>
      <c r="S11" s="193">
        <f xml:space="preserve"> Time!S$25</f>
        <v>44651</v>
      </c>
      <c r="T11" s="193">
        <f xml:space="preserve"> Time!T$25</f>
        <v>45016</v>
      </c>
      <c r="U11" s="193">
        <f xml:space="preserve"> Time!U$25</f>
        <v>45382</v>
      </c>
      <c r="V11" s="193">
        <f xml:space="preserve"> Time!V$25</f>
        <v>45747</v>
      </c>
    </row>
    <row r="12" spans="1:22" ht="12.75" customHeight="1" outlineLevel="1">
      <c r="A12" s="12">
        <f xml:space="preserve"> Time!A$49</f>
        <v>0</v>
      </c>
      <c r="D12" s="17"/>
      <c r="E12" s="12" t="str">
        <f xml:space="preserve"> Time!E$49</f>
        <v>Forecast period flag</v>
      </c>
      <c r="F12" s="12">
        <f xml:space="preserve"> Time!F$49</f>
        <v>0</v>
      </c>
      <c r="G12" s="12" t="str">
        <f xml:space="preserve"> Time!G$49</f>
        <v>flag</v>
      </c>
      <c r="H12" s="12">
        <f xml:space="preserve"> Time!H$49</f>
        <v>5</v>
      </c>
      <c r="I12" s="12">
        <f xml:space="preserve"> Time!I$49</f>
        <v>0</v>
      </c>
      <c r="J12" s="12">
        <f xml:space="preserve"> Time!J$49</f>
        <v>0</v>
      </c>
      <c r="K12" s="12">
        <f xml:space="preserve"> Time!K$49</f>
        <v>0</v>
      </c>
      <c r="L12" s="12">
        <f xml:space="preserve"> Time!L$49</f>
        <v>0</v>
      </c>
      <c r="M12" s="12">
        <f xml:space="preserve"> Time!M$49</f>
        <v>0</v>
      </c>
      <c r="N12" s="12">
        <f xml:space="preserve"> Time!N$49</f>
        <v>0</v>
      </c>
      <c r="O12" s="12">
        <f xml:space="preserve"> Time!O$49</f>
        <v>0</v>
      </c>
      <c r="P12" s="12">
        <f xml:space="preserve"> Time!P$49</f>
        <v>0</v>
      </c>
      <c r="Q12" s="12">
        <f xml:space="preserve"> Time!Q$49</f>
        <v>0</v>
      </c>
      <c r="R12" s="12">
        <f xml:space="preserve"> Time!R$49</f>
        <v>1</v>
      </c>
      <c r="S12" s="12">
        <f xml:space="preserve"> Time!S$49</f>
        <v>1</v>
      </c>
      <c r="T12" s="12">
        <f xml:space="preserve"> Time!T$49</f>
        <v>1</v>
      </c>
      <c r="U12" s="12">
        <f xml:space="preserve"> Time!U$49</f>
        <v>1</v>
      </c>
      <c r="V12" s="12">
        <f xml:space="preserve"> Time!V$49</f>
        <v>1</v>
      </c>
    </row>
    <row r="13" spans="1:22" s="205" customFormat="1" ht="12.75" customHeight="1" outlineLevel="1">
      <c r="A13" s="203"/>
      <c r="B13" s="203"/>
      <c r="C13" s="204"/>
      <c r="E13" s="205" t="s">
        <v>789</v>
      </c>
      <c r="G13" s="205" t="s">
        <v>565</v>
      </c>
      <c r="J13" s="205">
        <f t="shared" ref="J13:P13" si="0" xml:space="preserve"> IF(J11 &lt; $F9, 0, (J11 - $F9) / $F10) * J12</f>
        <v>0</v>
      </c>
      <c r="K13" s="205">
        <f t="shared" si="0"/>
        <v>0</v>
      </c>
      <c r="L13" s="205">
        <f t="shared" si="0"/>
        <v>0</v>
      </c>
      <c r="M13" s="205">
        <f t="shared" si="0"/>
        <v>0</v>
      </c>
      <c r="N13" s="205">
        <f t="shared" si="0"/>
        <v>0</v>
      </c>
      <c r="O13" s="205">
        <f t="shared" si="0"/>
        <v>0</v>
      </c>
      <c r="P13" s="205">
        <f t="shared" si="0"/>
        <v>0</v>
      </c>
      <c r="Q13" s="205">
        <f t="shared" ref="Q13:V13" si="1" xml:space="preserve"> IF(Q11 &lt; $F9, 0, (Q11 - $F9) / $F10) * Q12</f>
        <v>0</v>
      </c>
      <c r="R13" s="205">
        <f xml:space="preserve"> IF(R11 &lt; $F9, 0, (R11 - $F9) / $F10) * R12</f>
        <v>0</v>
      </c>
      <c r="S13" s="205">
        <f xml:space="preserve"> IF(S11 &lt; $F9, 0, (S11 - $F9) / $F10) * S12</f>
        <v>1</v>
      </c>
      <c r="T13" s="205">
        <f t="shared" si="1"/>
        <v>2</v>
      </c>
      <c r="U13" s="205">
        <f t="shared" si="1"/>
        <v>3.0027397260273974</v>
      </c>
      <c r="V13" s="205">
        <f t="shared" si="1"/>
        <v>4.0027397260273974</v>
      </c>
    </row>
    <row r="14" spans="1:22" outlineLevel="1"/>
    <row r="15" spans="1:22" s="202" customFormat="1" outlineLevel="1">
      <c r="A15" s="147" t="str">
        <f xml:space="preserve"> Inputs!A$136</f>
        <v>C040</v>
      </c>
      <c r="B15" s="199"/>
      <c r="C15" s="200"/>
      <c r="D15" s="201"/>
      <c r="E15" s="147" t="str">
        <f xml:space="preserve"> Inputs!E$136</f>
        <v>Discount rate - Water resources</v>
      </c>
      <c r="F15" s="147">
        <f xml:space="preserve"> Inputs!F$136</f>
        <v>3.09E-2</v>
      </c>
      <c r="G15" s="147" t="str">
        <f xml:space="preserve"> Inputs!G$136</f>
        <v>%</v>
      </c>
    </row>
    <row r="16" spans="1:22" s="202" customFormat="1" outlineLevel="1">
      <c r="A16" s="147" t="str">
        <f xml:space="preserve"> Inputs!A$137</f>
        <v>C050</v>
      </c>
      <c r="B16" s="199"/>
      <c r="C16" s="200"/>
      <c r="D16" s="201"/>
      <c r="E16" s="147" t="str">
        <f xml:space="preserve"> Inputs!E$137</f>
        <v>Discount rate - Water network plus</v>
      </c>
      <c r="F16" s="147">
        <f xml:space="preserve"> Inputs!F$137</f>
        <v>3.09E-2</v>
      </c>
      <c r="G16" s="147" t="str">
        <f xml:space="preserve"> Inputs!G$137</f>
        <v>%</v>
      </c>
      <c r="H16" s="147"/>
      <c r="I16" s="147"/>
      <c r="J16" s="147"/>
      <c r="K16" s="147"/>
      <c r="L16" s="147"/>
      <c r="M16" s="147"/>
      <c r="N16" s="147"/>
      <c r="O16" s="147"/>
      <c r="P16" s="147"/>
      <c r="Q16" s="147"/>
      <c r="R16" s="147"/>
      <c r="S16" s="147"/>
      <c r="T16" s="147"/>
      <c r="U16" s="147"/>
      <c r="V16" s="147"/>
    </row>
    <row r="17" spans="1:22" s="202" customFormat="1" outlineLevel="1">
      <c r="A17" s="147" t="str">
        <f xml:space="preserve"> Inputs!A$138</f>
        <v>C060</v>
      </c>
      <c r="B17" s="199"/>
      <c r="C17" s="200"/>
      <c r="D17" s="201"/>
      <c r="E17" s="147" t="str">
        <f xml:space="preserve"> Inputs!E$138</f>
        <v>Discount rate - Bioresources</v>
      </c>
      <c r="F17" s="147">
        <f xml:space="preserve"> Inputs!F$138</f>
        <v>3.09E-2</v>
      </c>
      <c r="G17" s="147" t="str">
        <f xml:space="preserve"> Inputs!G$138</f>
        <v>%</v>
      </c>
      <c r="H17" s="147"/>
      <c r="I17" s="147"/>
      <c r="J17" s="147"/>
      <c r="K17" s="147"/>
      <c r="L17" s="147"/>
      <c r="M17" s="147"/>
      <c r="N17" s="147"/>
      <c r="O17" s="147"/>
      <c r="P17" s="147"/>
      <c r="Q17" s="147"/>
      <c r="R17" s="147"/>
      <c r="S17" s="147"/>
      <c r="T17" s="147"/>
      <c r="U17" s="147"/>
      <c r="V17" s="147"/>
    </row>
    <row r="18" spans="1:22" s="202" customFormat="1" outlineLevel="1">
      <c r="A18" s="147" t="str">
        <f xml:space="preserve"> Inputs!A$139</f>
        <v>C070</v>
      </c>
      <c r="B18" s="199"/>
      <c r="C18" s="200"/>
      <c r="D18" s="201"/>
      <c r="E18" s="147" t="str">
        <f xml:space="preserve"> Inputs!E$139</f>
        <v>Discount rate - Wastewater network plus</v>
      </c>
      <c r="F18" s="147">
        <f xml:space="preserve"> Inputs!F$139</f>
        <v>3.09E-2</v>
      </c>
      <c r="G18" s="147" t="str">
        <f xml:space="preserve"> Inputs!G$139</f>
        <v>%</v>
      </c>
      <c r="H18" s="147"/>
      <c r="I18" s="147"/>
      <c r="J18" s="147"/>
      <c r="K18" s="147"/>
      <c r="L18" s="147"/>
      <c r="M18" s="147"/>
      <c r="N18" s="147"/>
      <c r="O18" s="147"/>
      <c r="P18" s="147"/>
      <c r="Q18" s="147"/>
      <c r="R18" s="147"/>
      <c r="S18" s="147"/>
      <c r="T18" s="147"/>
      <c r="U18" s="147"/>
      <c r="V18" s="147"/>
    </row>
    <row r="19" spans="1:22" s="202" customFormat="1" outlineLevel="1">
      <c r="A19" s="147" t="str">
        <f xml:space="preserve"> Inputs!A$140</f>
        <v>C080</v>
      </c>
      <c r="B19" s="199"/>
      <c r="C19" s="200"/>
      <c r="D19" s="201"/>
      <c r="E19" s="294" t="str">
        <f xml:space="preserve"> Inputs!E$140</f>
        <v>Discount rate - Dummy control</v>
      </c>
      <c r="F19" s="294">
        <f xml:space="preserve"> Inputs!F$140</f>
        <v>3.09E-2</v>
      </c>
      <c r="G19" s="294" t="str">
        <f xml:space="preserve"> Inputs!G$140</f>
        <v>%</v>
      </c>
      <c r="H19" s="147"/>
      <c r="I19" s="147"/>
      <c r="J19" s="147"/>
      <c r="K19" s="147"/>
      <c r="L19" s="147"/>
      <c r="M19" s="147"/>
      <c r="N19" s="147"/>
      <c r="O19" s="147"/>
      <c r="P19" s="147"/>
      <c r="Q19" s="147"/>
      <c r="R19" s="147"/>
      <c r="S19" s="147"/>
      <c r="T19" s="147"/>
      <c r="U19" s="147"/>
      <c r="V19" s="147"/>
    </row>
    <row r="20" spans="1:22" s="202" customFormat="1" outlineLevel="1">
      <c r="A20" s="147" t="str">
        <f xml:space="preserve"> Inputs!A$141</f>
        <v>C090</v>
      </c>
      <c r="B20" s="199"/>
      <c r="C20" s="200"/>
      <c r="D20" s="201"/>
      <c r="E20" s="147" t="str">
        <f xml:space="preserve"> Inputs!E$141</f>
        <v>Discount rate - Residential retail</v>
      </c>
      <c r="F20" s="147">
        <f xml:space="preserve"> Inputs!F$141</f>
        <v>3.09E-2</v>
      </c>
      <c r="G20" s="147" t="str">
        <f xml:space="preserve"> Inputs!G$141</f>
        <v>%</v>
      </c>
      <c r="H20" s="147"/>
      <c r="I20" s="147"/>
      <c r="J20" s="147"/>
      <c r="K20" s="147"/>
      <c r="L20" s="147"/>
      <c r="M20" s="147"/>
      <c r="N20" s="147"/>
      <c r="O20" s="147"/>
      <c r="P20" s="147"/>
      <c r="Q20" s="147"/>
      <c r="R20" s="147"/>
      <c r="S20" s="147"/>
      <c r="T20" s="147"/>
      <c r="U20" s="147"/>
      <c r="V20" s="147"/>
    </row>
    <row r="21" spans="1:22" s="202" customFormat="1" outlineLevel="1">
      <c r="A21" s="147" t="str">
        <f xml:space="preserve"> Inputs!A$142</f>
        <v>C100</v>
      </c>
      <c r="B21" s="199"/>
      <c r="C21" s="200"/>
      <c r="D21" s="201"/>
      <c r="E21" s="147" t="str">
        <f xml:space="preserve"> Inputs!E$142</f>
        <v>Discount rate - Business retail</v>
      </c>
      <c r="F21" s="147">
        <f xml:space="preserve"> Inputs!F$142</f>
        <v>3.09E-2</v>
      </c>
      <c r="G21" s="147" t="str">
        <f xml:space="preserve"> Inputs!G$142</f>
        <v>%</v>
      </c>
      <c r="H21" s="147"/>
      <c r="I21" s="147"/>
      <c r="J21" s="147"/>
      <c r="K21" s="147"/>
      <c r="L21" s="147"/>
      <c r="M21" s="147"/>
      <c r="N21" s="147"/>
      <c r="O21" s="147"/>
      <c r="P21" s="147"/>
      <c r="Q21" s="147"/>
      <c r="R21" s="147"/>
      <c r="S21" s="147"/>
      <c r="T21" s="147"/>
      <c r="U21" s="147"/>
      <c r="V21" s="147"/>
    </row>
    <row r="22" spans="1:22" ht="5.0999999999999996" customHeight="1" outlineLevel="1"/>
    <row r="23" spans="1:22" s="222" customFormat="1" ht="12.75" customHeight="1" outlineLevel="1">
      <c r="A23" s="21" t="str">
        <f xml:space="preserve"> Inputs!A$134</f>
        <v>C020</v>
      </c>
      <c r="B23" s="220"/>
      <c r="C23" s="221"/>
      <c r="D23" s="20"/>
      <c r="E23" s="21" t="str">
        <f xml:space="preserve"> Inputs!E$134</f>
        <v>PV base date</v>
      </c>
      <c r="F23" s="21">
        <f xml:space="preserve"> Inputs!F$134</f>
        <v>44286</v>
      </c>
      <c r="G23" s="21" t="str">
        <f xml:space="preserve"> Inputs!G$134</f>
        <v>date</v>
      </c>
      <c r="H23" s="20"/>
      <c r="I23" s="20"/>
      <c r="J23" s="20"/>
      <c r="K23" s="20"/>
      <c r="L23" s="20"/>
      <c r="M23" s="20"/>
      <c r="N23" s="20"/>
      <c r="O23" s="20"/>
      <c r="P23" s="20"/>
      <c r="Q23" s="20"/>
      <c r="R23" s="20"/>
      <c r="S23" s="20"/>
      <c r="T23" s="20"/>
      <c r="U23" s="20"/>
      <c r="V23" s="20"/>
    </row>
    <row r="24" spans="1:22" ht="5.0999999999999996" customHeight="1" outlineLevel="1"/>
    <row r="25" spans="1:22" s="193" customFormat="1" ht="12.75" customHeight="1" outlineLevel="1">
      <c r="A25" s="210"/>
      <c r="B25" s="210"/>
      <c r="C25" s="211"/>
      <c r="E25" s="193" t="str">
        <f xml:space="preserve"> Time!E$25</f>
        <v>Model period ending</v>
      </c>
      <c r="F25" s="193">
        <f xml:space="preserve"> Time!F$25</f>
        <v>0</v>
      </c>
      <c r="G25" s="193" t="str">
        <f xml:space="preserve"> Time!G$25</f>
        <v>date</v>
      </c>
      <c r="H25" s="193">
        <f xml:space="preserve"> Time!H$25</f>
        <v>0</v>
      </c>
      <c r="I25" s="193">
        <f xml:space="preserve"> Time!I$25</f>
        <v>0</v>
      </c>
      <c r="J25" s="193">
        <f xml:space="preserve"> Time!J$25</f>
        <v>41364</v>
      </c>
      <c r="K25" s="193">
        <f xml:space="preserve"> Time!K$25</f>
        <v>41729</v>
      </c>
      <c r="L25" s="193">
        <f xml:space="preserve"> Time!L$25</f>
        <v>42094</v>
      </c>
      <c r="M25" s="193">
        <f xml:space="preserve"> Time!M$25</f>
        <v>42460</v>
      </c>
      <c r="N25" s="193">
        <f xml:space="preserve"> Time!N$25</f>
        <v>42825</v>
      </c>
      <c r="O25" s="193">
        <f xml:space="preserve"> Time!O$25</f>
        <v>43190</v>
      </c>
      <c r="P25" s="193">
        <f xml:space="preserve"> Time!P$25</f>
        <v>43555</v>
      </c>
      <c r="Q25" s="193">
        <f xml:space="preserve"> Time!Q$25</f>
        <v>43921</v>
      </c>
      <c r="R25" s="193">
        <f xml:space="preserve"> Time!R$25</f>
        <v>44286</v>
      </c>
      <c r="S25" s="193">
        <f xml:space="preserve"> Time!S$25</f>
        <v>44651</v>
      </c>
      <c r="T25" s="193">
        <f xml:space="preserve"> Time!T$25</f>
        <v>45016</v>
      </c>
      <c r="U25" s="193">
        <f xml:space="preserve"> Time!U$25</f>
        <v>45382</v>
      </c>
      <c r="V25" s="193">
        <f xml:space="preserve"> Time!V$25</f>
        <v>45747</v>
      </c>
    </row>
    <row r="26" spans="1:22" ht="12.75" customHeight="1" outlineLevel="1">
      <c r="D26" s="17"/>
      <c r="E26" s="206" t="str">
        <f t="shared" ref="E26:V26" si="2" xml:space="preserve"> E$13</f>
        <v>Years from valuation date</v>
      </c>
      <c r="F26" s="206">
        <f t="shared" si="2"/>
        <v>0</v>
      </c>
      <c r="G26" s="206" t="str">
        <f t="shared" si="2"/>
        <v>years</v>
      </c>
      <c r="H26" s="206">
        <f t="shared" si="2"/>
        <v>0</v>
      </c>
      <c r="I26" s="206">
        <f t="shared" si="2"/>
        <v>0</v>
      </c>
      <c r="J26" s="206">
        <f t="shared" si="2"/>
        <v>0</v>
      </c>
      <c r="K26" s="206">
        <f t="shared" si="2"/>
        <v>0</v>
      </c>
      <c r="L26" s="206">
        <f t="shared" si="2"/>
        <v>0</v>
      </c>
      <c r="M26" s="206">
        <f t="shared" si="2"/>
        <v>0</v>
      </c>
      <c r="N26" s="206">
        <f t="shared" si="2"/>
        <v>0</v>
      </c>
      <c r="O26" s="206">
        <f t="shared" si="2"/>
        <v>0</v>
      </c>
      <c r="P26" s="206">
        <f t="shared" si="2"/>
        <v>0</v>
      </c>
      <c r="Q26" s="206">
        <f t="shared" si="2"/>
        <v>0</v>
      </c>
      <c r="R26" s="206">
        <f t="shared" si="2"/>
        <v>0</v>
      </c>
      <c r="S26" s="206">
        <f t="shared" si="2"/>
        <v>1</v>
      </c>
      <c r="T26" s="206">
        <f t="shared" si="2"/>
        <v>2</v>
      </c>
      <c r="U26" s="206">
        <f t="shared" si="2"/>
        <v>3.0027397260273974</v>
      </c>
      <c r="V26" s="206">
        <f t="shared" si="2"/>
        <v>4.0027397260273974</v>
      </c>
    </row>
    <row r="27" spans="1:22" ht="5.0999999999999996" customHeight="1" outlineLevel="1"/>
    <row r="28" spans="1:22" s="162" customFormat="1" ht="12.75" customHeight="1" outlineLevel="1">
      <c r="A28" s="160"/>
      <c r="B28" s="160"/>
      <c r="C28" s="161"/>
      <c r="D28" s="212"/>
      <c r="E28" s="205" t="s">
        <v>790</v>
      </c>
      <c r="F28" s="205"/>
      <c r="G28" s="205" t="s">
        <v>714</v>
      </c>
      <c r="H28" s="205">
        <f xml:space="preserve"> SUM(J28:V28)</f>
        <v>4.7089624450258523</v>
      </c>
      <c r="I28" s="205"/>
      <c r="J28" s="205">
        <f xml:space="preserve"> IF(J$25 &lt; $F$23, 0, 1 / ( 1 + $F15) ^ J$26)</f>
        <v>0</v>
      </c>
      <c r="K28" s="205">
        <f t="shared" ref="K28:V28" si="3" xml:space="preserve"> IF(K$25 &lt; $F$23, 0, 1 / ( 1 + $F15) ^ K$26)</f>
        <v>0</v>
      </c>
      <c r="L28" s="205">
        <f t="shared" si="3"/>
        <v>0</v>
      </c>
      <c r="M28" s="205">
        <f t="shared" si="3"/>
        <v>0</v>
      </c>
      <c r="N28" s="205">
        <f t="shared" si="3"/>
        <v>0</v>
      </c>
      <c r="O28" s="205">
        <f t="shared" si="3"/>
        <v>0</v>
      </c>
      <c r="P28" s="205">
        <f t="shared" si="3"/>
        <v>0</v>
      </c>
      <c r="Q28" s="205">
        <f t="shared" si="3"/>
        <v>0</v>
      </c>
      <c r="R28" s="205">
        <f xml:space="preserve"> IF(R$25 &lt; $F$23, 0, 1 / ( 1 + $F15) ^ R$26)</f>
        <v>1</v>
      </c>
      <c r="S28" s="205">
        <f t="shared" si="3"/>
        <v>0.97002619070714913</v>
      </c>
      <c r="T28" s="205">
        <f t="shared" si="3"/>
        <v>0.94095081065782249</v>
      </c>
      <c r="U28" s="205">
        <f t="shared" si="3"/>
        <v>0.91267083257176684</v>
      </c>
      <c r="V28" s="205">
        <f t="shared" si="3"/>
        <v>0.88531461108911325</v>
      </c>
    </row>
    <row r="29" spans="1:22" s="162" customFormat="1" ht="12.75" customHeight="1" outlineLevel="1">
      <c r="A29" s="160"/>
      <c r="B29" s="160"/>
      <c r="C29" s="161"/>
      <c r="D29" s="212"/>
      <c r="E29" s="205" t="s">
        <v>791</v>
      </c>
      <c r="F29" s="205"/>
      <c r="G29" s="205" t="s">
        <v>714</v>
      </c>
      <c r="H29" s="205">
        <f t="shared" ref="H29:H34" si="4" xml:space="preserve"> SUM(J29:V29)</f>
        <v>4.7089624450258523</v>
      </c>
      <c r="I29" s="205"/>
      <c r="J29" s="205">
        <f xml:space="preserve"> IF(J$25 &lt; $F$23, 0, 1 / ( 1 + $F16) ^ J$26)</f>
        <v>0</v>
      </c>
      <c r="K29" s="205">
        <f t="shared" ref="K29:V29" si="5" xml:space="preserve"> IF(K$25 &lt; $F$23, 0, 1 / ( 1 + $F16) ^ K$26)</f>
        <v>0</v>
      </c>
      <c r="L29" s="205">
        <f t="shared" si="5"/>
        <v>0</v>
      </c>
      <c r="M29" s="205">
        <f t="shared" si="5"/>
        <v>0</v>
      </c>
      <c r="N29" s="205">
        <f t="shared" si="5"/>
        <v>0</v>
      </c>
      <c r="O29" s="205">
        <f t="shared" si="5"/>
        <v>0</v>
      </c>
      <c r="P29" s="205">
        <f t="shared" si="5"/>
        <v>0</v>
      </c>
      <c r="Q29" s="205">
        <f t="shared" si="5"/>
        <v>0</v>
      </c>
      <c r="R29" s="205">
        <f t="shared" si="5"/>
        <v>1</v>
      </c>
      <c r="S29" s="205">
        <f t="shared" si="5"/>
        <v>0.97002619070714913</v>
      </c>
      <c r="T29" s="205">
        <f t="shared" si="5"/>
        <v>0.94095081065782249</v>
      </c>
      <c r="U29" s="205">
        <f t="shared" si="5"/>
        <v>0.91267083257176684</v>
      </c>
      <c r="V29" s="205">
        <f t="shared" si="5"/>
        <v>0.88531461108911325</v>
      </c>
    </row>
    <row r="30" spans="1:22" s="162" customFormat="1" ht="12.75" customHeight="1" outlineLevel="1">
      <c r="A30" s="160"/>
      <c r="B30" s="160"/>
      <c r="C30" s="161"/>
      <c r="D30" s="212"/>
      <c r="E30" s="205" t="s">
        <v>792</v>
      </c>
      <c r="F30" s="205"/>
      <c r="G30" s="205" t="s">
        <v>714</v>
      </c>
      <c r="H30" s="205">
        <f t="shared" si="4"/>
        <v>4.7089624450258523</v>
      </c>
      <c r="I30" s="205"/>
      <c r="J30" s="205">
        <f xml:space="preserve"> IF(J$25 &lt; $F$23, 0, 1 / ( 1 + $F17) ^ J$26)</f>
        <v>0</v>
      </c>
      <c r="K30" s="205">
        <f t="shared" ref="K30:V30" si="6" xml:space="preserve"> IF(K$25 &lt; $F$23, 0, 1 / ( 1 + $F17) ^ K$26)</f>
        <v>0</v>
      </c>
      <c r="L30" s="205">
        <f t="shared" si="6"/>
        <v>0</v>
      </c>
      <c r="M30" s="205">
        <f t="shared" si="6"/>
        <v>0</v>
      </c>
      <c r="N30" s="205">
        <f t="shared" si="6"/>
        <v>0</v>
      </c>
      <c r="O30" s="205">
        <f t="shared" si="6"/>
        <v>0</v>
      </c>
      <c r="P30" s="205">
        <f t="shared" si="6"/>
        <v>0</v>
      </c>
      <c r="Q30" s="205">
        <f t="shared" si="6"/>
        <v>0</v>
      </c>
      <c r="R30" s="205">
        <f t="shared" si="6"/>
        <v>1</v>
      </c>
      <c r="S30" s="205">
        <f t="shared" si="6"/>
        <v>0.97002619070714913</v>
      </c>
      <c r="T30" s="205">
        <f t="shared" si="6"/>
        <v>0.94095081065782249</v>
      </c>
      <c r="U30" s="205">
        <f t="shared" si="6"/>
        <v>0.91267083257176684</v>
      </c>
      <c r="V30" s="205">
        <f t="shared" si="6"/>
        <v>0.88531461108911325</v>
      </c>
    </row>
    <row r="31" spans="1:22" s="162" customFormat="1" ht="12.75" customHeight="1" outlineLevel="1">
      <c r="A31" s="160"/>
      <c r="B31" s="160"/>
      <c r="C31" s="161"/>
      <c r="D31" s="212"/>
      <c r="E31" s="205" t="s">
        <v>793</v>
      </c>
      <c r="F31" s="205"/>
      <c r="G31" s="205" t="s">
        <v>714</v>
      </c>
      <c r="H31" s="205">
        <f t="shared" si="4"/>
        <v>4.7089624450258523</v>
      </c>
      <c r="I31" s="205"/>
      <c r="J31" s="205">
        <f t="shared" ref="J31:V32" si="7" xml:space="preserve"> IF(J$25 &lt; $F$23, 0, 1 / ( 1 + $F18) ^ J$26)</f>
        <v>0</v>
      </c>
      <c r="K31" s="205">
        <f t="shared" si="7"/>
        <v>0</v>
      </c>
      <c r="L31" s="205">
        <f t="shared" si="7"/>
        <v>0</v>
      </c>
      <c r="M31" s="205">
        <f t="shared" si="7"/>
        <v>0</v>
      </c>
      <c r="N31" s="205">
        <f t="shared" si="7"/>
        <v>0</v>
      </c>
      <c r="O31" s="205">
        <f t="shared" si="7"/>
        <v>0</v>
      </c>
      <c r="P31" s="205">
        <f t="shared" si="7"/>
        <v>0</v>
      </c>
      <c r="Q31" s="205">
        <f t="shared" si="7"/>
        <v>0</v>
      </c>
      <c r="R31" s="205">
        <f t="shared" si="7"/>
        <v>1</v>
      </c>
      <c r="S31" s="205">
        <f t="shared" si="7"/>
        <v>0.97002619070714913</v>
      </c>
      <c r="T31" s="205">
        <f t="shared" si="7"/>
        <v>0.94095081065782249</v>
      </c>
      <c r="U31" s="205">
        <f t="shared" si="7"/>
        <v>0.91267083257176684</v>
      </c>
      <c r="V31" s="205">
        <f t="shared" si="7"/>
        <v>0.88531461108911325</v>
      </c>
    </row>
    <row r="32" spans="1:22" s="162" customFormat="1" ht="12.75" customHeight="1" outlineLevel="1">
      <c r="A32" s="160"/>
      <c r="B32" s="160"/>
      <c r="C32" s="161"/>
      <c r="D32" s="212"/>
      <c r="E32" s="295" t="s">
        <v>794</v>
      </c>
      <c r="F32" s="295"/>
      <c r="G32" s="295" t="s">
        <v>714</v>
      </c>
      <c r="H32" s="295">
        <f t="shared" ref="H32" si="8" xml:space="preserve"> SUM(J32:V32)</f>
        <v>4.7089624450258523</v>
      </c>
      <c r="I32" s="295"/>
      <c r="J32" s="295">
        <f t="shared" si="7"/>
        <v>0</v>
      </c>
      <c r="K32" s="295">
        <f t="shared" si="7"/>
        <v>0</v>
      </c>
      <c r="L32" s="295">
        <f t="shared" si="7"/>
        <v>0</v>
      </c>
      <c r="M32" s="295">
        <f t="shared" si="7"/>
        <v>0</v>
      </c>
      <c r="N32" s="295">
        <f t="shared" si="7"/>
        <v>0</v>
      </c>
      <c r="O32" s="295">
        <f t="shared" si="7"/>
        <v>0</v>
      </c>
      <c r="P32" s="295">
        <f t="shared" si="7"/>
        <v>0</v>
      </c>
      <c r="Q32" s="295">
        <f t="shared" si="7"/>
        <v>0</v>
      </c>
      <c r="R32" s="295">
        <f t="shared" si="7"/>
        <v>1</v>
      </c>
      <c r="S32" s="295">
        <f t="shared" si="7"/>
        <v>0.97002619070714913</v>
      </c>
      <c r="T32" s="295">
        <f t="shared" si="7"/>
        <v>0.94095081065782249</v>
      </c>
      <c r="U32" s="295">
        <f t="shared" si="7"/>
        <v>0.91267083257176684</v>
      </c>
      <c r="V32" s="295">
        <f t="shared" si="7"/>
        <v>0.88531461108911325</v>
      </c>
    </row>
    <row r="33" spans="1:22" s="162" customFormat="1" ht="12.75" customHeight="1" outlineLevel="1">
      <c r="A33" s="160"/>
      <c r="B33" s="160"/>
      <c r="C33" s="161"/>
      <c r="D33" s="212"/>
      <c r="E33" s="205" t="s">
        <v>795</v>
      </c>
      <c r="F33" s="205"/>
      <c r="G33" s="205" t="s">
        <v>714</v>
      </c>
      <c r="H33" s="205">
        <f t="shared" si="4"/>
        <v>4.7089624450258523</v>
      </c>
      <c r="I33" s="205"/>
      <c r="J33" s="205">
        <f t="shared" ref="J33:V33" si="9" xml:space="preserve"> IF(J$25 &lt; $F$23, 0, 1 / ( 1 + $F20) ^ J$26)</f>
        <v>0</v>
      </c>
      <c r="K33" s="205">
        <f t="shared" si="9"/>
        <v>0</v>
      </c>
      <c r="L33" s="205">
        <f t="shared" si="9"/>
        <v>0</v>
      </c>
      <c r="M33" s="205">
        <f t="shared" si="9"/>
        <v>0</v>
      </c>
      <c r="N33" s="205">
        <f t="shared" si="9"/>
        <v>0</v>
      </c>
      <c r="O33" s="205">
        <f t="shared" si="9"/>
        <v>0</v>
      </c>
      <c r="P33" s="205">
        <f t="shared" si="9"/>
        <v>0</v>
      </c>
      <c r="Q33" s="205">
        <f t="shared" si="9"/>
        <v>0</v>
      </c>
      <c r="R33" s="205">
        <f t="shared" si="9"/>
        <v>1</v>
      </c>
      <c r="S33" s="205">
        <f t="shared" si="9"/>
        <v>0.97002619070714913</v>
      </c>
      <c r="T33" s="205">
        <f t="shared" si="9"/>
        <v>0.94095081065782249</v>
      </c>
      <c r="U33" s="205">
        <f t="shared" si="9"/>
        <v>0.91267083257176684</v>
      </c>
      <c r="V33" s="205">
        <f t="shared" si="9"/>
        <v>0.88531461108911325</v>
      </c>
    </row>
    <row r="34" spans="1:22" s="162" customFormat="1" ht="12.75" customHeight="1" outlineLevel="1">
      <c r="A34" s="160"/>
      <c r="B34" s="160"/>
      <c r="C34" s="161"/>
      <c r="D34" s="212"/>
      <c r="E34" s="205" t="s">
        <v>796</v>
      </c>
      <c r="F34" s="205"/>
      <c r="G34" s="205" t="s">
        <v>714</v>
      </c>
      <c r="H34" s="205">
        <f t="shared" si="4"/>
        <v>4.7089624450258523</v>
      </c>
      <c r="I34" s="205"/>
      <c r="J34" s="205">
        <f t="shared" ref="J34:V34" si="10" xml:space="preserve"> IF(J$25 &lt; $F$23, 0, 1 / ( 1 + $F21) ^ J$26)</f>
        <v>0</v>
      </c>
      <c r="K34" s="205">
        <f t="shared" si="10"/>
        <v>0</v>
      </c>
      <c r="L34" s="205">
        <f t="shared" si="10"/>
        <v>0</v>
      </c>
      <c r="M34" s="205">
        <f t="shared" si="10"/>
        <v>0</v>
      </c>
      <c r="N34" s="205">
        <f t="shared" si="10"/>
        <v>0</v>
      </c>
      <c r="O34" s="205">
        <f t="shared" si="10"/>
        <v>0</v>
      </c>
      <c r="P34" s="205">
        <f t="shared" si="10"/>
        <v>0</v>
      </c>
      <c r="Q34" s="205">
        <f t="shared" si="10"/>
        <v>0</v>
      </c>
      <c r="R34" s="205">
        <f t="shared" si="10"/>
        <v>1</v>
      </c>
      <c r="S34" s="205">
        <f t="shared" si="10"/>
        <v>0.97002619070714913</v>
      </c>
      <c r="T34" s="205">
        <f t="shared" si="10"/>
        <v>0.94095081065782249</v>
      </c>
      <c r="U34" s="205">
        <f t="shared" si="10"/>
        <v>0.91267083257176684</v>
      </c>
      <c r="V34" s="205">
        <f t="shared" si="10"/>
        <v>0.88531461108911325</v>
      </c>
    </row>
    <row r="35" spans="1:22" s="162" customFormat="1" ht="12.75" customHeight="1" outlineLevel="1">
      <c r="A35" s="160"/>
      <c r="B35" s="160"/>
      <c r="C35" s="161"/>
      <c r="D35" s="212"/>
      <c r="E35" s="205"/>
      <c r="F35" s="205"/>
      <c r="G35" s="205"/>
      <c r="H35" s="205"/>
      <c r="I35" s="205"/>
      <c r="J35" s="205"/>
      <c r="K35" s="205"/>
      <c r="L35" s="205"/>
      <c r="M35" s="205"/>
      <c r="N35" s="205"/>
      <c r="O35" s="205"/>
      <c r="P35" s="205"/>
      <c r="Q35" s="205"/>
      <c r="R35" s="205"/>
      <c r="S35" s="205"/>
      <c r="T35" s="205"/>
      <c r="U35" s="205"/>
      <c r="V35" s="205"/>
    </row>
    <row r="36" spans="1:22" s="162" customFormat="1" ht="12.75" customHeight="1" outlineLevel="1">
      <c r="A36" s="160"/>
      <c r="B36" s="160"/>
      <c r="C36" s="161"/>
      <c r="D36" s="212"/>
      <c r="E36" s="185" t="str">
        <f t="shared" ref="E36:V36" si="11" xml:space="preserve"> E$28</f>
        <v>PV discount factor - Water resources</v>
      </c>
      <c r="F36" s="185">
        <f t="shared" si="11"/>
        <v>0</v>
      </c>
      <c r="G36" s="185" t="str">
        <f t="shared" si="11"/>
        <v>factor</v>
      </c>
      <c r="H36" s="185">
        <f t="shared" si="11"/>
        <v>4.7089624450258523</v>
      </c>
      <c r="I36" s="185">
        <f t="shared" si="11"/>
        <v>0</v>
      </c>
      <c r="J36" s="185">
        <f t="shared" si="11"/>
        <v>0</v>
      </c>
      <c r="K36" s="185">
        <f t="shared" si="11"/>
        <v>0</v>
      </c>
      <c r="L36" s="185">
        <f t="shared" si="11"/>
        <v>0</v>
      </c>
      <c r="M36" s="185">
        <f t="shared" si="11"/>
        <v>0</v>
      </c>
      <c r="N36" s="185">
        <f t="shared" si="11"/>
        <v>0</v>
      </c>
      <c r="O36" s="185">
        <f t="shared" si="11"/>
        <v>0</v>
      </c>
      <c r="P36" s="185">
        <f t="shared" si="11"/>
        <v>0</v>
      </c>
      <c r="Q36" s="185">
        <f t="shared" si="11"/>
        <v>0</v>
      </c>
      <c r="R36" s="185">
        <f t="shared" si="11"/>
        <v>1</v>
      </c>
      <c r="S36" s="185">
        <f t="shared" si="11"/>
        <v>0.97002619070714913</v>
      </c>
      <c r="T36" s="185">
        <f t="shared" si="11"/>
        <v>0.94095081065782249</v>
      </c>
      <c r="U36" s="185">
        <f t="shared" si="11"/>
        <v>0.91267083257176684</v>
      </c>
      <c r="V36" s="185">
        <f t="shared" si="11"/>
        <v>0.88531461108911325</v>
      </c>
    </row>
    <row r="37" spans="1:22" s="162" customFormat="1" ht="12.75" customHeight="1" outlineLevel="1">
      <c r="A37" s="160"/>
      <c r="B37" s="160"/>
      <c r="C37" s="161"/>
      <c r="D37" s="212"/>
      <c r="E37" s="185" t="str">
        <f t="shared" ref="E37:V37" si="12" xml:space="preserve"> E$29</f>
        <v>PV discount factor - Water network</v>
      </c>
      <c r="F37" s="185">
        <f t="shared" si="12"/>
        <v>0</v>
      </c>
      <c r="G37" s="185" t="str">
        <f t="shared" si="12"/>
        <v>factor</v>
      </c>
      <c r="H37" s="185">
        <f t="shared" si="12"/>
        <v>4.7089624450258523</v>
      </c>
      <c r="I37" s="185">
        <f t="shared" si="12"/>
        <v>0</v>
      </c>
      <c r="J37" s="185">
        <f t="shared" si="12"/>
        <v>0</v>
      </c>
      <c r="K37" s="185">
        <f t="shared" si="12"/>
        <v>0</v>
      </c>
      <c r="L37" s="185">
        <f t="shared" si="12"/>
        <v>0</v>
      </c>
      <c r="M37" s="185">
        <f t="shared" si="12"/>
        <v>0</v>
      </c>
      <c r="N37" s="185">
        <f t="shared" si="12"/>
        <v>0</v>
      </c>
      <c r="O37" s="185">
        <f t="shared" si="12"/>
        <v>0</v>
      </c>
      <c r="P37" s="185">
        <f t="shared" si="12"/>
        <v>0</v>
      </c>
      <c r="Q37" s="185">
        <f t="shared" si="12"/>
        <v>0</v>
      </c>
      <c r="R37" s="185">
        <f t="shared" si="12"/>
        <v>1</v>
      </c>
      <c r="S37" s="185">
        <f t="shared" si="12"/>
        <v>0.97002619070714913</v>
      </c>
      <c r="T37" s="185">
        <f t="shared" si="12"/>
        <v>0.94095081065782249</v>
      </c>
      <c r="U37" s="185">
        <f t="shared" si="12"/>
        <v>0.91267083257176684</v>
      </c>
      <c r="V37" s="185">
        <f t="shared" si="12"/>
        <v>0.88531461108911325</v>
      </c>
    </row>
    <row r="38" spans="1:22" s="162" customFormat="1" ht="12.75" customHeight="1" outlineLevel="1">
      <c r="A38" s="160"/>
      <c r="B38" s="160"/>
      <c r="C38" s="161"/>
      <c r="D38" s="212"/>
      <c r="E38" s="185" t="str">
        <f xml:space="preserve"> E$30</f>
        <v>PV discount factor - Bioresources</v>
      </c>
      <c r="F38" s="185">
        <f t="shared" ref="F38:V38" si="13" xml:space="preserve"> F$30</f>
        <v>0</v>
      </c>
      <c r="G38" s="185" t="str">
        <f t="shared" si="13"/>
        <v>factor</v>
      </c>
      <c r="H38" s="185">
        <f t="shared" si="13"/>
        <v>4.7089624450258523</v>
      </c>
      <c r="I38" s="185">
        <f t="shared" si="13"/>
        <v>0</v>
      </c>
      <c r="J38" s="185">
        <f t="shared" si="13"/>
        <v>0</v>
      </c>
      <c r="K38" s="185">
        <f t="shared" si="13"/>
        <v>0</v>
      </c>
      <c r="L38" s="185">
        <f t="shared" si="13"/>
        <v>0</v>
      </c>
      <c r="M38" s="185">
        <f t="shared" si="13"/>
        <v>0</v>
      </c>
      <c r="N38" s="185">
        <f t="shared" si="13"/>
        <v>0</v>
      </c>
      <c r="O38" s="185">
        <f t="shared" si="13"/>
        <v>0</v>
      </c>
      <c r="P38" s="185">
        <f t="shared" si="13"/>
        <v>0</v>
      </c>
      <c r="Q38" s="185">
        <f t="shared" si="13"/>
        <v>0</v>
      </c>
      <c r="R38" s="185">
        <f t="shared" si="13"/>
        <v>1</v>
      </c>
      <c r="S38" s="185">
        <f t="shared" si="13"/>
        <v>0.97002619070714913</v>
      </c>
      <c r="T38" s="185">
        <f t="shared" si="13"/>
        <v>0.94095081065782249</v>
      </c>
      <c r="U38" s="185">
        <f t="shared" si="13"/>
        <v>0.91267083257176684</v>
      </c>
      <c r="V38" s="185">
        <f t="shared" si="13"/>
        <v>0.88531461108911325</v>
      </c>
    </row>
    <row r="39" spans="1:22" s="162" customFormat="1" ht="12.75" customHeight="1" outlineLevel="1">
      <c r="A39" s="160"/>
      <c r="B39" s="160"/>
      <c r="C39" s="161"/>
      <c r="D39" s="212"/>
      <c r="E39" s="185" t="str">
        <f t="shared" ref="E39:V39" si="14" xml:space="preserve"> E$31</f>
        <v>PV discount factor - Wastewater network</v>
      </c>
      <c r="F39" s="185">
        <f t="shared" si="14"/>
        <v>0</v>
      </c>
      <c r="G39" s="185" t="str">
        <f t="shared" si="14"/>
        <v>factor</v>
      </c>
      <c r="H39" s="185">
        <f t="shared" si="14"/>
        <v>4.7089624450258523</v>
      </c>
      <c r="I39" s="185">
        <f t="shared" si="14"/>
        <v>0</v>
      </c>
      <c r="J39" s="185">
        <f t="shared" si="14"/>
        <v>0</v>
      </c>
      <c r="K39" s="185">
        <f t="shared" si="14"/>
        <v>0</v>
      </c>
      <c r="L39" s="185">
        <f t="shared" si="14"/>
        <v>0</v>
      </c>
      <c r="M39" s="185">
        <f t="shared" si="14"/>
        <v>0</v>
      </c>
      <c r="N39" s="185">
        <f t="shared" si="14"/>
        <v>0</v>
      </c>
      <c r="O39" s="185">
        <f t="shared" si="14"/>
        <v>0</v>
      </c>
      <c r="P39" s="185">
        <f t="shared" si="14"/>
        <v>0</v>
      </c>
      <c r="Q39" s="185">
        <f t="shared" si="14"/>
        <v>0</v>
      </c>
      <c r="R39" s="185">
        <f t="shared" si="14"/>
        <v>1</v>
      </c>
      <c r="S39" s="185">
        <f t="shared" si="14"/>
        <v>0.97002619070714913</v>
      </c>
      <c r="T39" s="185">
        <f t="shared" si="14"/>
        <v>0.94095081065782249</v>
      </c>
      <c r="U39" s="185">
        <f t="shared" si="14"/>
        <v>0.91267083257176684</v>
      </c>
      <c r="V39" s="185">
        <f t="shared" si="14"/>
        <v>0.88531461108911325</v>
      </c>
    </row>
    <row r="40" spans="1:22" s="162" customFormat="1" ht="12.75" customHeight="1" outlineLevel="1">
      <c r="A40" s="160"/>
      <c r="B40" s="160"/>
      <c r="C40" s="161"/>
      <c r="D40" s="212"/>
      <c r="E40" s="291" t="str">
        <f t="shared" ref="E40:V40" si="15" xml:space="preserve"> E$32</f>
        <v>PV discount factor - Dummy control</v>
      </c>
      <c r="F40" s="291">
        <f t="shared" si="15"/>
        <v>0</v>
      </c>
      <c r="G40" s="291" t="str">
        <f t="shared" si="15"/>
        <v>factor</v>
      </c>
      <c r="H40" s="291">
        <f t="shared" si="15"/>
        <v>4.7089624450258523</v>
      </c>
      <c r="I40" s="291">
        <f t="shared" si="15"/>
        <v>0</v>
      </c>
      <c r="J40" s="291">
        <f t="shared" si="15"/>
        <v>0</v>
      </c>
      <c r="K40" s="291">
        <f t="shared" si="15"/>
        <v>0</v>
      </c>
      <c r="L40" s="291">
        <f t="shared" si="15"/>
        <v>0</v>
      </c>
      <c r="M40" s="291">
        <f t="shared" si="15"/>
        <v>0</v>
      </c>
      <c r="N40" s="291">
        <f t="shared" si="15"/>
        <v>0</v>
      </c>
      <c r="O40" s="291">
        <f t="shared" si="15"/>
        <v>0</v>
      </c>
      <c r="P40" s="291">
        <f t="shared" si="15"/>
        <v>0</v>
      </c>
      <c r="Q40" s="291">
        <f t="shared" si="15"/>
        <v>0</v>
      </c>
      <c r="R40" s="291">
        <f t="shared" si="15"/>
        <v>1</v>
      </c>
      <c r="S40" s="291">
        <f t="shared" si="15"/>
        <v>0.97002619070714913</v>
      </c>
      <c r="T40" s="291">
        <f t="shared" si="15"/>
        <v>0.94095081065782249</v>
      </c>
      <c r="U40" s="291">
        <f t="shared" si="15"/>
        <v>0.91267083257176684</v>
      </c>
      <c r="V40" s="291">
        <f t="shared" si="15"/>
        <v>0.88531461108911325</v>
      </c>
    </row>
    <row r="41" spans="1:22" s="162" customFormat="1" ht="12.75" customHeight="1" outlineLevel="1">
      <c r="A41" s="160"/>
      <c r="B41" s="160"/>
      <c r="C41" s="161"/>
      <c r="D41" s="212"/>
      <c r="E41" s="185" t="str">
        <f t="shared" ref="E41:V41" si="16" xml:space="preserve"> E$33</f>
        <v>PV discount factor - Residential retail</v>
      </c>
      <c r="F41" s="185">
        <f t="shared" si="16"/>
        <v>0</v>
      </c>
      <c r="G41" s="185" t="str">
        <f t="shared" si="16"/>
        <v>factor</v>
      </c>
      <c r="H41" s="185">
        <f t="shared" si="16"/>
        <v>4.7089624450258523</v>
      </c>
      <c r="I41" s="185">
        <f t="shared" si="16"/>
        <v>0</v>
      </c>
      <c r="J41" s="185">
        <f t="shared" si="16"/>
        <v>0</v>
      </c>
      <c r="K41" s="185">
        <f t="shared" si="16"/>
        <v>0</v>
      </c>
      <c r="L41" s="185">
        <f t="shared" si="16"/>
        <v>0</v>
      </c>
      <c r="M41" s="185">
        <f t="shared" si="16"/>
        <v>0</v>
      </c>
      <c r="N41" s="185">
        <f t="shared" si="16"/>
        <v>0</v>
      </c>
      <c r="O41" s="185">
        <f t="shared" si="16"/>
        <v>0</v>
      </c>
      <c r="P41" s="185">
        <f t="shared" si="16"/>
        <v>0</v>
      </c>
      <c r="Q41" s="185">
        <f t="shared" si="16"/>
        <v>0</v>
      </c>
      <c r="R41" s="185">
        <f t="shared" si="16"/>
        <v>1</v>
      </c>
      <c r="S41" s="185">
        <f t="shared" si="16"/>
        <v>0.97002619070714913</v>
      </c>
      <c r="T41" s="185">
        <f t="shared" si="16"/>
        <v>0.94095081065782249</v>
      </c>
      <c r="U41" s="185">
        <f t="shared" si="16"/>
        <v>0.91267083257176684</v>
      </c>
      <c r="V41" s="185">
        <f t="shared" si="16"/>
        <v>0.88531461108911325</v>
      </c>
    </row>
    <row r="42" spans="1:22" s="162" customFormat="1" ht="12.75" customHeight="1" outlineLevel="1">
      <c r="A42" s="160"/>
      <c r="B42" s="160"/>
      <c r="C42" s="161"/>
      <c r="D42" s="212"/>
      <c r="E42" s="185" t="str">
        <f xml:space="preserve"> E$34</f>
        <v>PV discount factor - Business retail</v>
      </c>
      <c r="F42" s="185">
        <f t="shared" ref="F42:V42" si="17" xml:space="preserve"> F$34</f>
        <v>0</v>
      </c>
      <c r="G42" s="185" t="str">
        <f t="shared" si="17"/>
        <v>factor</v>
      </c>
      <c r="H42" s="185">
        <f t="shared" si="17"/>
        <v>4.7089624450258523</v>
      </c>
      <c r="I42" s="185">
        <f t="shared" si="17"/>
        <v>0</v>
      </c>
      <c r="J42" s="185">
        <f t="shared" si="17"/>
        <v>0</v>
      </c>
      <c r="K42" s="185">
        <f t="shared" si="17"/>
        <v>0</v>
      </c>
      <c r="L42" s="185">
        <f t="shared" si="17"/>
        <v>0</v>
      </c>
      <c r="M42" s="185">
        <f t="shared" si="17"/>
        <v>0</v>
      </c>
      <c r="N42" s="185">
        <f t="shared" si="17"/>
        <v>0</v>
      </c>
      <c r="O42" s="185">
        <f t="shared" si="17"/>
        <v>0</v>
      </c>
      <c r="P42" s="185">
        <f t="shared" si="17"/>
        <v>0</v>
      </c>
      <c r="Q42" s="185">
        <f t="shared" si="17"/>
        <v>0</v>
      </c>
      <c r="R42" s="185">
        <f t="shared" si="17"/>
        <v>1</v>
      </c>
      <c r="S42" s="185">
        <f t="shared" si="17"/>
        <v>0.97002619070714913</v>
      </c>
      <c r="T42" s="185">
        <f t="shared" si="17"/>
        <v>0.94095081065782249</v>
      </c>
      <c r="U42" s="185">
        <f t="shared" si="17"/>
        <v>0.91267083257176684</v>
      </c>
      <c r="V42" s="185">
        <f t="shared" si="17"/>
        <v>0.88531461108911325</v>
      </c>
    </row>
    <row r="43" spans="1:22" s="162" customFormat="1" ht="12.75" customHeight="1" outlineLevel="1">
      <c r="A43" s="160"/>
      <c r="B43" s="160"/>
      <c r="C43" s="161"/>
      <c r="D43" s="212"/>
      <c r="E43" s="185"/>
      <c r="F43" s="185"/>
      <c r="G43" s="185"/>
      <c r="H43" s="185"/>
      <c r="I43" s="185"/>
      <c r="J43" s="185"/>
      <c r="K43" s="185"/>
      <c r="L43" s="185"/>
      <c r="M43" s="185"/>
      <c r="N43" s="185"/>
      <c r="O43" s="185"/>
      <c r="P43" s="185"/>
      <c r="Q43" s="185"/>
      <c r="R43" s="185"/>
      <c r="S43" s="185"/>
      <c r="T43" s="185"/>
      <c r="U43" s="185"/>
      <c r="V43" s="185"/>
    </row>
    <row r="44" spans="1:22" ht="5.0999999999999996" customHeight="1" outlineLevel="1"/>
    <row r="45" spans="1:22" outlineLevel="1">
      <c r="E45" t="s">
        <v>797</v>
      </c>
      <c r="F45" s="197">
        <f t="shared" ref="F45:F51" si="18" xml:space="preserve"> SUM(J36:V36)</f>
        <v>4.7089624450258523</v>
      </c>
      <c r="G45" s="205" t="s">
        <v>714</v>
      </c>
    </row>
    <row r="46" spans="1:22" outlineLevel="1">
      <c r="E46" t="s">
        <v>798</v>
      </c>
      <c r="F46" s="197">
        <f t="shared" si="18"/>
        <v>4.7089624450258523</v>
      </c>
      <c r="G46" s="205" t="s">
        <v>714</v>
      </c>
    </row>
    <row r="47" spans="1:22" outlineLevel="1">
      <c r="E47" t="s">
        <v>799</v>
      </c>
      <c r="F47" s="197">
        <f t="shared" si="18"/>
        <v>4.7089624450258523</v>
      </c>
      <c r="G47" s="205" t="s">
        <v>714</v>
      </c>
    </row>
    <row r="48" spans="1:22" outlineLevel="1">
      <c r="E48" t="s">
        <v>800</v>
      </c>
      <c r="F48" s="197">
        <f t="shared" si="18"/>
        <v>4.7089624450258523</v>
      </c>
      <c r="G48" s="205" t="s">
        <v>714</v>
      </c>
    </row>
    <row r="49" spans="1:22" outlineLevel="1">
      <c r="E49" s="284" t="s">
        <v>801</v>
      </c>
      <c r="F49" s="292">
        <f t="shared" si="18"/>
        <v>4.7089624450258523</v>
      </c>
      <c r="G49" s="295" t="s">
        <v>714</v>
      </c>
    </row>
    <row r="50" spans="1:22" outlineLevel="1">
      <c r="E50" t="s">
        <v>802</v>
      </c>
      <c r="F50" s="197">
        <f t="shared" si="18"/>
        <v>4.7089624450258523</v>
      </c>
      <c r="G50" s="205" t="s">
        <v>714</v>
      </c>
    </row>
    <row r="51" spans="1:22" outlineLevel="1">
      <c r="E51" t="s">
        <v>803</v>
      </c>
      <c r="F51" s="197">
        <f t="shared" si="18"/>
        <v>4.7089624450258523</v>
      </c>
      <c r="G51" s="205" t="s">
        <v>714</v>
      </c>
    </row>
    <row r="52" spans="1:22" outlineLevel="1"/>
    <row r="54" spans="1:22" ht="12.75" customHeight="1">
      <c r="A54" s="39" t="s">
        <v>804</v>
      </c>
      <c r="B54" s="39"/>
      <c r="C54" s="40"/>
      <c r="D54" s="39"/>
      <c r="E54" s="39"/>
      <c r="F54" s="39"/>
      <c r="G54" s="39"/>
      <c r="H54" s="39"/>
      <c r="I54" s="39"/>
      <c r="J54" s="39"/>
      <c r="K54" s="39"/>
      <c r="L54" s="39"/>
      <c r="M54" s="39"/>
      <c r="N54" s="39"/>
      <c r="O54" s="39"/>
      <c r="P54" s="39"/>
      <c r="Q54" s="39"/>
      <c r="R54" s="39"/>
      <c r="S54" s="39"/>
      <c r="T54" s="39"/>
      <c r="U54" s="39"/>
      <c r="V54" s="39"/>
    </row>
    <row r="55" spans="1:22" outlineLevel="1"/>
    <row r="56" spans="1:22" outlineLevel="1">
      <c r="B56" s="10" t="s">
        <v>805</v>
      </c>
    </row>
    <row r="57" spans="1:22" s="222" customFormat="1" ht="12.75" customHeight="1" outlineLevel="2">
      <c r="A57" s="21" t="str">
        <f xml:space="preserve"> Inputs!A$134</f>
        <v>C020</v>
      </c>
      <c r="B57" s="220"/>
      <c r="C57" s="221"/>
      <c r="D57" s="20"/>
      <c r="E57" s="21" t="str">
        <f xml:space="preserve"> Inputs!E$134</f>
        <v>PV base date</v>
      </c>
      <c r="F57" s="21">
        <f xml:space="preserve"> Inputs!F$134</f>
        <v>44286</v>
      </c>
      <c r="G57" s="21" t="str">
        <f xml:space="preserve"> Inputs!G$134</f>
        <v>date</v>
      </c>
      <c r="H57" s="20"/>
      <c r="I57" s="20"/>
      <c r="J57" s="20"/>
      <c r="K57" s="20"/>
      <c r="L57" s="20"/>
      <c r="M57" s="20"/>
      <c r="N57" s="20"/>
      <c r="O57" s="20"/>
      <c r="P57" s="20"/>
      <c r="Q57" s="20"/>
      <c r="R57" s="20"/>
      <c r="S57" s="20"/>
      <c r="T57" s="20"/>
      <c r="U57" s="20"/>
      <c r="V57" s="20"/>
    </row>
    <row r="58" spans="1:22" ht="5.0999999999999996" customHeight="1" outlineLevel="2"/>
    <row r="59" spans="1:22" s="193" customFormat="1" ht="12.75" customHeight="1" outlineLevel="2">
      <c r="A59" s="210"/>
      <c r="B59" s="210"/>
      <c r="C59" s="211"/>
      <c r="E59" s="193" t="str">
        <f xml:space="preserve"> Time!E$25</f>
        <v>Model period ending</v>
      </c>
      <c r="F59" s="193">
        <f xml:space="preserve"> Time!F$25</f>
        <v>0</v>
      </c>
      <c r="G59" s="193" t="str">
        <f xml:space="preserve"> Time!G$25</f>
        <v>date</v>
      </c>
      <c r="H59" s="193">
        <f xml:space="preserve"> Time!H$25</f>
        <v>0</v>
      </c>
      <c r="I59" s="193">
        <f xml:space="preserve"> Time!I$25</f>
        <v>0</v>
      </c>
      <c r="J59" s="193">
        <f xml:space="preserve"> Time!J$25</f>
        <v>41364</v>
      </c>
      <c r="K59" s="193">
        <f xml:space="preserve"> Time!K$25</f>
        <v>41729</v>
      </c>
      <c r="L59" s="193">
        <f xml:space="preserve"> Time!L$25</f>
        <v>42094</v>
      </c>
      <c r="M59" s="193">
        <f xml:space="preserve"> Time!M$25</f>
        <v>42460</v>
      </c>
      <c r="N59" s="193">
        <f xml:space="preserve"> Time!N$25</f>
        <v>42825</v>
      </c>
      <c r="O59" s="193">
        <f xml:space="preserve"> Time!O$25</f>
        <v>43190</v>
      </c>
      <c r="P59" s="193">
        <f xml:space="preserve"> Time!P$25</f>
        <v>43555</v>
      </c>
      <c r="Q59" s="193">
        <f xml:space="preserve"> Time!Q$25</f>
        <v>43921</v>
      </c>
      <c r="R59" s="193">
        <f xml:space="preserve"> Time!R$25</f>
        <v>44286</v>
      </c>
      <c r="S59" s="193">
        <f xml:space="preserve"> Time!S$25</f>
        <v>44651</v>
      </c>
      <c r="T59" s="193">
        <f xml:space="preserve"> Time!T$25</f>
        <v>45016</v>
      </c>
      <c r="U59" s="193">
        <f xml:space="preserve"> Time!U$25</f>
        <v>45382</v>
      </c>
      <c r="V59" s="193">
        <f xml:space="preserve"> Time!V$25</f>
        <v>45747</v>
      </c>
    </row>
    <row r="60" spans="1:22" ht="5.0999999999999996" customHeight="1" outlineLevel="2"/>
    <row r="61" spans="1:22" s="193" customFormat="1" ht="12.75" customHeight="1" outlineLevel="2">
      <c r="A61" s="210"/>
      <c r="B61" s="210"/>
      <c r="C61" s="211"/>
      <c r="E61" s="213" t="str">
        <f t="shared" ref="E61:V61" si="19" xml:space="preserve"> E$28</f>
        <v>PV discount factor - Water resources</v>
      </c>
      <c r="F61" s="213">
        <f t="shared" si="19"/>
        <v>0</v>
      </c>
      <c r="G61" s="213" t="str">
        <f t="shared" si="19"/>
        <v>factor</v>
      </c>
      <c r="H61" s="213">
        <f t="shared" si="19"/>
        <v>4.7089624450258523</v>
      </c>
      <c r="I61" s="213">
        <f t="shared" si="19"/>
        <v>0</v>
      </c>
      <c r="J61" s="213">
        <f t="shared" si="19"/>
        <v>0</v>
      </c>
      <c r="K61" s="213">
        <f t="shared" si="19"/>
        <v>0</v>
      </c>
      <c r="L61" s="213">
        <f t="shared" si="19"/>
        <v>0</v>
      </c>
      <c r="M61" s="213">
        <f t="shared" si="19"/>
        <v>0</v>
      </c>
      <c r="N61" s="213">
        <f t="shared" si="19"/>
        <v>0</v>
      </c>
      <c r="O61" s="213">
        <f t="shared" si="19"/>
        <v>0</v>
      </c>
      <c r="P61" s="213">
        <f t="shared" si="19"/>
        <v>0</v>
      </c>
      <c r="Q61" s="213">
        <f t="shared" si="19"/>
        <v>0</v>
      </c>
      <c r="R61" s="213">
        <f t="shared" si="19"/>
        <v>1</v>
      </c>
      <c r="S61" s="213">
        <f t="shared" si="19"/>
        <v>0.97002619070714913</v>
      </c>
      <c r="T61" s="213">
        <f t="shared" si="19"/>
        <v>0.94095081065782249</v>
      </c>
      <c r="U61" s="213">
        <f t="shared" si="19"/>
        <v>0.91267083257176684</v>
      </c>
      <c r="V61" s="213">
        <f t="shared" si="19"/>
        <v>0.88531461108911325</v>
      </c>
    </row>
    <row r="62" spans="1:22" s="162" customFormat="1" ht="12.75" customHeight="1" outlineLevel="2">
      <c r="A62" s="160"/>
      <c r="B62" s="160"/>
      <c r="C62" s="161"/>
      <c r="D62" s="212"/>
      <c r="E62" s="185" t="str">
        <f t="shared" ref="E62:V62" si="20" xml:space="preserve"> E$29</f>
        <v>PV discount factor - Water network</v>
      </c>
      <c r="F62" s="185">
        <f t="shared" si="20"/>
        <v>0</v>
      </c>
      <c r="G62" s="185" t="str">
        <f t="shared" si="20"/>
        <v>factor</v>
      </c>
      <c r="H62" s="185">
        <f t="shared" si="20"/>
        <v>4.7089624450258523</v>
      </c>
      <c r="I62" s="185">
        <f t="shared" si="20"/>
        <v>0</v>
      </c>
      <c r="J62" s="185">
        <f t="shared" si="20"/>
        <v>0</v>
      </c>
      <c r="K62" s="185">
        <f t="shared" si="20"/>
        <v>0</v>
      </c>
      <c r="L62" s="185">
        <f t="shared" si="20"/>
        <v>0</v>
      </c>
      <c r="M62" s="185">
        <f t="shared" si="20"/>
        <v>0</v>
      </c>
      <c r="N62" s="185">
        <f t="shared" si="20"/>
        <v>0</v>
      </c>
      <c r="O62" s="185">
        <f t="shared" si="20"/>
        <v>0</v>
      </c>
      <c r="P62" s="185">
        <f t="shared" si="20"/>
        <v>0</v>
      </c>
      <c r="Q62" s="185">
        <f t="shared" si="20"/>
        <v>0</v>
      </c>
      <c r="R62" s="185">
        <f t="shared" si="20"/>
        <v>1</v>
      </c>
      <c r="S62" s="185">
        <f t="shared" si="20"/>
        <v>0.97002619070714913</v>
      </c>
      <c r="T62" s="185">
        <f t="shared" si="20"/>
        <v>0.94095081065782249</v>
      </c>
      <c r="U62" s="185">
        <f t="shared" si="20"/>
        <v>0.91267083257176684</v>
      </c>
      <c r="V62" s="185">
        <f t="shared" si="20"/>
        <v>0.88531461108911325</v>
      </c>
    </row>
    <row r="63" spans="1:22" s="162" customFormat="1" ht="12.75" customHeight="1" outlineLevel="2">
      <c r="A63" s="160"/>
      <c r="B63" s="160"/>
      <c r="C63" s="161"/>
      <c r="D63" s="212"/>
      <c r="E63" s="185" t="str">
        <f xml:space="preserve"> E$30</f>
        <v>PV discount factor - Bioresources</v>
      </c>
      <c r="F63" s="185">
        <f t="shared" ref="F63:V63" si="21" xml:space="preserve"> F$30</f>
        <v>0</v>
      </c>
      <c r="G63" s="185" t="str">
        <f t="shared" si="21"/>
        <v>factor</v>
      </c>
      <c r="H63" s="185">
        <f t="shared" si="21"/>
        <v>4.7089624450258523</v>
      </c>
      <c r="I63" s="185">
        <f t="shared" si="21"/>
        <v>0</v>
      </c>
      <c r="J63" s="185">
        <f t="shared" si="21"/>
        <v>0</v>
      </c>
      <c r="K63" s="185">
        <f t="shared" si="21"/>
        <v>0</v>
      </c>
      <c r="L63" s="185">
        <f t="shared" si="21"/>
        <v>0</v>
      </c>
      <c r="M63" s="185">
        <f t="shared" si="21"/>
        <v>0</v>
      </c>
      <c r="N63" s="185">
        <f t="shared" si="21"/>
        <v>0</v>
      </c>
      <c r="O63" s="185">
        <f t="shared" si="21"/>
        <v>0</v>
      </c>
      <c r="P63" s="185">
        <f t="shared" si="21"/>
        <v>0</v>
      </c>
      <c r="Q63" s="185">
        <f t="shared" si="21"/>
        <v>0</v>
      </c>
      <c r="R63" s="185">
        <f t="shared" si="21"/>
        <v>1</v>
      </c>
      <c r="S63" s="185">
        <f t="shared" si="21"/>
        <v>0.97002619070714913</v>
      </c>
      <c r="T63" s="185">
        <f t="shared" si="21"/>
        <v>0.94095081065782249</v>
      </c>
      <c r="U63" s="185">
        <f t="shared" si="21"/>
        <v>0.91267083257176684</v>
      </c>
      <c r="V63" s="185">
        <f t="shared" si="21"/>
        <v>0.88531461108911325</v>
      </c>
    </row>
    <row r="64" spans="1:22" s="162" customFormat="1" ht="12.75" customHeight="1" outlineLevel="2">
      <c r="A64" s="160"/>
      <c r="B64" s="160"/>
      <c r="C64" s="161"/>
      <c r="D64" s="212"/>
      <c r="E64" s="185" t="str">
        <f t="shared" ref="E64:V64" si="22" xml:space="preserve"> E$31</f>
        <v>PV discount factor - Wastewater network</v>
      </c>
      <c r="F64" s="185">
        <f t="shared" si="22"/>
        <v>0</v>
      </c>
      <c r="G64" s="185" t="str">
        <f t="shared" si="22"/>
        <v>factor</v>
      </c>
      <c r="H64" s="185">
        <f t="shared" si="22"/>
        <v>4.7089624450258523</v>
      </c>
      <c r="I64" s="185">
        <f t="shared" si="22"/>
        <v>0</v>
      </c>
      <c r="J64" s="185">
        <f t="shared" si="22"/>
        <v>0</v>
      </c>
      <c r="K64" s="185">
        <f t="shared" si="22"/>
        <v>0</v>
      </c>
      <c r="L64" s="185">
        <f t="shared" si="22"/>
        <v>0</v>
      </c>
      <c r="M64" s="185">
        <f t="shared" si="22"/>
        <v>0</v>
      </c>
      <c r="N64" s="185">
        <f t="shared" si="22"/>
        <v>0</v>
      </c>
      <c r="O64" s="185">
        <f t="shared" si="22"/>
        <v>0</v>
      </c>
      <c r="P64" s="185">
        <f t="shared" si="22"/>
        <v>0</v>
      </c>
      <c r="Q64" s="185">
        <f t="shared" si="22"/>
        <v>0</v>
      </c>
      <c r="R64" s="185">
        <f t="shared" si="22"/>
        <v>1</v>
      </c>
      <c r="S64" s="185">
        <f t="shared" si="22"/>
        <v>0.97002619070714913</v>
      </c>
      <c r="T64" s="185">
        <f t="shared" si="22"/>
        <v>0.94095081065782249</v>
      </c>
      <c r="U64" s="185">
        <f t="shared" si="22"/>
        <v>0.91267083257176684</v>
      </c>
      <c r="V64" s="185">
        <f t="shared" si="22"/>
        <v>0.88531461108911325</v>
      </c>
    </row>
    <row r="65" spans="1:22" s="162" customFormat="1" ht="12.75" customHeight="1" outlineLevel="2">
      <c r="A65" s="160"/>
      <c r="B65" s="160"/>
      <c r="C65" s="161"/>
      <c r="D65" s="212"/>
      <c r="E65" s="291" t="str">
        <f t="shared" ref="E65:V65" si="23" xml:space="preserve"> E$32</f>
        <v>PV discount factor - Dummy control</v>
      </c>
      <c r="F65" s="291">
        <f t="shared" si="23"/>
        <v>0</v>
      </c>
      <c r="G65" s="291" t="str">
        <f t="shared" si="23"/>
        <v>factor</v>
      </c>
      <c r="H65" s="291">
        <f t="shared" si="23"/>
        <v>4.7089624450258523</v>
      </c>
      <c r="I65" s="291">
        <f t="shared" si="23"/>
        <v>0</v>
      </c>
      <c r="J65" s="291">
        <f t="shared" si="23"/>
        <v>0</v>
      </c>
      <c r="K65" s="291">
        <f t="shared" si="23"/>
        <v>0</v>
      </c>
      <c r="L65" s="291">
        <f t="shared" si="23"/>
        <v>0</v>
      </c>
      <c r="M65" s="291">
        <f t="shared" si="23"/>
        <v>0</v>
      </c>
      <c r="N65" s="291">
        <f t="shared" si="23"/>
        <v>0</v>
      </c>
      <c r="O65" s="291">
        <f t="shared" si="23"/>
        <v>0</v>
      </c>
      <c r="P65" s="291">
        <f t="shared" si="23"/>
        <v>0</v>
      </c>
      <c r="Q65" s="291">
        <f t="shared" si="23"/>
        <v>0</v>
      </c>
      <c r="R65" s="291">
        <f t="shared" si="23"/>
        <v>1</v>
      </c>
      <c r="S65" s="291">
        <f t="shared" si="23"/>
        <v>0.97002619070714913</v>
      </c>
      <c r="T65" s="291">
        <f t="shared" si="23"/>
        <v>0.94095081065782249</v>
      </c>
      <c r="U65" s="291">
        <f t="shared" si="23"/>
        <v>0.91267083257176684</v>
      </c>
      <c r="V65" s="291">
        <f t="shared" si="23"/>
        <v>0.88531461108911325</v>
      </c>
    </row>
    <row r="66" spans="1:22" s="162" customFormat="1" ht="12.75" customHeight="1" outlineLevel="2">
      <c r="A66" s="160"/>
      <c r="B66" s="160"/>
      <c r="C66" s="161"/>
      <c r="D66" s="212"/>
      <c r="E66" s="185" t="str">
        <f t="shared" ref="E66:V66" si="24" xml:space="preserve"> E$33</f>
        <v>PV discount factor - Residential retail</v>
      </c>
      <c r="F66" s="185">
        <f t="shared" si="24"/>
        <v>0</v>
      </c>
      <c r="G66" s="185" t="str">
        <f t="shared" si="24"/>
        <v>factor</v>
      </c>
      <c r="H66" s="185">
        <f t="shared" si="24"/>
        <v>4.7089624450258523</v>
      </c>
      <c r="I66" s="185">
        <f t="shared" si="24"/>
        <v>0</v>
      </c>
      <c r="J66" s="185">
        <f t="shared" si="24"/>
        <v>0</v>
      </c>
      <c r="K66" s="185">
        <f t="shared" si="24"/>
        <v>0</v>
      </c>
      <c r="L66" s="185">
        <f t="shared" si="24"/>
        <v>0</v>
      </c>
      <c r="M66" s="185">
        <f t="shared" si="24"/>
        <v>0</v>
      </c>
      <c r="N66" s="185">
        <f t="shared" si="24"/>
        <v>0</v>
      </c>
      <c r="O66" s="185">
        <f t="shared" si="24"/>
        <v>0</v>
      </c>
      <c r="P66" s="185">
        <f t="shared" si="24"/>
        <v>0</v>
      </c>
      <c r="Q66" s="185">
        <f t="shared" si="24"/>
        <v>0</v>
      </c>
      <c r="R66" s="185">
        <f t="shared" si="24"/>
        <v>1</v>
      </c>
      <c r="S66" s="185">
        <f t="shared" si="24"/>
        <v>0.97002619070714913</v>
      </c>
      <c r="T66" s="185">
        <f t="shared" si="24"/>
        <v>0.94095081065782249</v>
      </c>
      <c r="U66" s="185">
        <f t="shared" si="24"/>
        <v>0.91267083257176684</v>
      </c>
      <c r="V66" s="185">
        <f t="shared" si="24"/>
        <v>0.88531461108911325</v>
      </c>
    </row>
    <row r="67" spans="1:22" s="162" customFormat="1" ht="12.75" customHeight="1" outlineLevel="2">
      <c r="A67" s="160"/>
      <c r="B67" s="160"/>
      <c r="C67" s="161"/>
      <c r="D67" s="212"/>
      <c r="E67" s="185" t="str">
        <f xml:space="preserve"> E$34</f>
        <v>PV discount factor - Business retail</v>
      </c>
      <c r="F67" s="185">
        <f t="shared" ref="F67:V67" si="25" xml:space="preserve"> F$34</f>
        <v>0</v>
      </c>
      <c r="G67" s="185" t="str">
        <f t="shared" si="25"/>
        <v>factor</v>
      </c>
      <c r="H67" s="185">
        <f t="shared" si="25"/>
        <v>4.7089624450258523</v>
      </c>
      <c r="I67" s="185">
        <f t="shared" si="25"/>
        <v>0</v>
      </c>
      <c r="J67" s="185">
        <f t="shared" si="25"/>
        <v>0</v>
      </c>
      <c r="K67" s="185">
        <f t="shared" si="25"/>
        <v>0</v>
      </c>
      <c r="L67" s="185">
        <f t="shared" si="25"/>
        <v>0</v>
      </c>
      <c r="M67" s="185">
        <f t="shared" si="25"/>
        <v>0</v>
      </c>
      <c r="N67" s="185">
        <f t="shared" si="25"/>
        <v>0</v>
      </c>
      <c r="O67" s="185">
        <f t="shared" si="25"/>
        <v>0</v>
      </c>
      <c r="P67" s="185">
        <f t="shared" si="25"/>
        <v>0</v>
      </c>
      <c r="Q67" s="185">
        <f t="shared" si="25"/>
        <v>0</v>
      </c>
      <c r="R67" s="185">
        <f t="shared" si="25"/>
        <v>1</v>
      </c>
      <c r="S67" s="185">
        <f t="shared" si="25"/>
        <v>0.97002619070714913</v>
      </c>
      <c r="T67" s="185">
        <f t="shared" si="25"/>
        <v>0.94095081065782249</v>
      </c>
      <c r="U67" s="185">
        <f t="shared" si="25"/>
        <v>0.91267083257176684</v>
      </c>
      <c r="V67" s="185">
        <f t="shared" si="25"/>
        <v>0.88531461108911325</v>
      </c>
    </row>
    <row r="68" spans="1:22" ht="5.0999999999999996" customHeight="1" outlineLevel="2"/>
    <row r="69" spans="1:22" s="151" customFormat="1" outlineLevel="2">
      <c r="A69" s="183"/>
      <c r="B69" s="183"/>
      <c r="C69" s="184"/>
      <c r="D69" s="185"/>
      <c r="E69" s="151" t="s">
        <v>806</v>
      </c>
      <c r="G69" s="151" t="s">
        <v>714</v>
      </c>
      <c r="J69" s="151">
        <f t="shared" ref="J69:V69" si="26" xml:space="preserve"> IF($F$57 = J$59, J61, 0)</f>
        <v>0</v>
      </c>
      <c r="K69" s="151">
        <f t="shared" si="26"/>
        <v>0</v>
      </c>
      <c r="L69" s="151">
        <f t="shared" si="26"/>
        <v>0</v>
      </c>
      <c r="M69" s="151">
        <f t="shared" si="26"/>
        <v>0</v>
      </c>
      <c r="N69" s="151">
        <f t="shared" si="26"/>
        <v>0</v>
      </c>
      <c r="O69" s="151">
        <f t="shared" si="26"/>
        <v>0</v>
      </c>
      <c r="P69" s="151">
        <f t="shared" si="26"/>
        <v>0</v>
      </c>
      <c r="Q69" s="151">
        <f t="shared" si="26"/>
        <v>0</v>
      </c>
      <c r="R69" s="151">
        <f t="shared" si="26"/>
        <v>1</v>
      </c>
      <c r="S69" s="151">
        <f t="shared" si="26"/>
        <v>0</v>
      </c>
      <c r="T69" s="151">
        <f t="shared" si="26"/>
        <v>0</v>
      </c>
      <c r="U69" s="151">
        <f t="shared" si="26"/>
        <v>0</v>
      </c>
      <c r="V69" s="151">
        <f t="shared" si="26"/>
        <v>0</v>
      </c>
    </row>
    <row r="70" spans="1:22" outlineLevel="2">
      <c r="E70" s="151" t="s">
        <v>807</v>
      </c>
      <c r="G70" s="151" t="s">
        <v>714</v>
      </c>
      <c r="J70" s="151">
        <f t="shared" ref="J70:V70" si="27" xml:space="preserve"> IF($F$57 = J$59, J62, 0)</f>
        <v>0</v>
      </c>
      <c r="K70" s="151">
        <f t="shared" si="27"/>
        <v>0</v>
      </c>
      <c r="L70" s="151">
        <f t="shared" si="27"/>
        <v>0</v>
      </c>
      <c r="M70" s="151">
        <f t="shared" si="27"/>
        <v>0</v>
      </c>
      <c r="N70" s="151">
        <f t="shared" si="27"/>
        <v>0</v>
      </c>
      <c r="O70" s="151">
        <f t="shared" si="27"/>
        <v>0</v>
      </c>
      <c r="P70" s="151">
        <f t="shared" si="27"/>
        <v>0</v>
      </c>
      <c r="Q70" s="151">
        <f t="shared" si="27"/>
        <v>0</v>
      </c>
      <c r="R70" s="151">
        <f t="shared" si="27"/>
        <v>1</v>
      </c>
      <c r="S70" s="151">
        <f t="shared" si="27"/>
        <v>0</v>
      </c>
      <c r="T70" s="151">
        <f t="shared" si="27"/>
        <v>0</v>
      </c>
      <c r="U70" s="151">
        <f t="shared" si="27"/>
        <v>0</v>
      </c>
      <c r="V70" s="151">
        <f t="shared" si="27"/>
        <v>0</v>
      </c>
    </row>
    <row r="71" spans="1:22" s="162" customFormat="1" ht="12.75" customHeight="1" outlineLevel="2">
      <c r="A71" s="160"/>
      <c r="B71" s="160"/>
      <c r="C71" s="161"/>
      <c r="D71" s="212"/>
      <c r="E71" s="151" t="s">
        <v>808</v>
      </c>
      <c r="F71"/>
      <c r="G71" s="151" t="s">
        <v>714</v>
      </c>
      <c r="H71"/>
      <c r="I71"/>
      <c r="J71" s="151">
        <f t="shared" ref="J71:V71" si="28" xml:space="preserve"> IF($F$57 = J$59, J63, 0)</f>
        <v>0</v>
      </c>
      <c r="K71" s="151">
        <f t="shared" si="28"/>
        <v>0</v>
      </c>
      <c r="L71" s="151">
        <f t="shared" si="28"/>
        <v>0</v>
      </c>
      <c r="M71" s="151">
        <f t="shared" si="28"/>
        <v>0</v>
      </c>
      <c r="N71" s="151">
        <f t="shared" si="28"/>
        <v>0</v>
      </c>
      <c r="O71" s="151">
        <f t="shared" si="28"/>
        <v>0</v>
      </c>
      <c r="P71" s="151">
        <f t="shared" si="28"/>
        <v>0</v>
      </c>
      <c r="Q71" s="151">
        <f t="shared" si="28"/>
        <v>0</v>
      </c>
      <c r="R71" s="151">
        <f t="shared" si="28"/>
        <v>1</v>
      </c>
      <c r="S71" s="151">
        <f t="shared" si="28"/>
        <v>0</v>
      </c>
      <c r="T71" s="151">
        <f t="shared" si="28"/>
        <v>0</v>
      </c>
      <c r="U71" s="151">
        <f t="shared" si="28"/>
        <v>0</v>
      </c>
      <c r="V71" s="151">
        <f t="shared" si="28"/>
        <v>0</v>
      </c>
    </row>
    <row r="72" spans="1:22" outlineLevel="2">
      <c r="E72" s="151" t="s">
        <v>809</v>
      </c>
      <c r="G72" s="151" t="s">
        <v>714</v>
      </c>
      <c r="J72" s="151">
        <f t="shared" ref="J72:V73" si="29" xml:space="preserve"> IF($F$57 = J$59, J64, 0)</f>
        <v>0</v>
      </c>
      <c r="K72" s="151">
        <f t="shared" si="29"/>
        <v>0</v>
      </c>
      <c r="L72" s="151">
        <f t="shared" si="29"/>
        <v>0</v>
      </c>
      <c r="M72" s="151">
        <f t="shared" si="29"/>
        <v>0</v>
      </c>
      <c r="N72" s="151">
        <f t="shared" si="29"/>
        <v>0</v>
      </c>
      <c r="O72" s="151">
        <f t="shared" si="29"/>
        <v>0</v>
      </c>
      <c r="P72" s="151">
        <f t="shared" si="29"/>
        <v>0</v>
      </c>
      <c r="Q72" s="151">
        <f t="shared" si="29"/>
        <v>0</v>
      </c>
      <c r="R72" s="151">
        <f t="shared" si="29"/>
        <v>1</v>
      </c>
      <c r="S72" s="151">
        <f t="shared" si="29"/>
        <v>0</v>
      </c>
      <c r="T72" s="151">
        <f t="shared" si="29"/>
        <v>0</v>
      </c>
      <c r="U72" s="151">
        <f t="shared" si="29"/>
        <v>0</v>
      </c>
      <c r="V72" s="151">
        <f t="shared" si="29"/>
        <v>0</v>
      </c>
    </row>
    <row r="73" spans="1:22" outlineLevel="2">
      <c r="E73" s="291" t="s">
        <v>810</v>
      </c>
      <c r="F73" s="284"/>
      <c r="G73" s="302" t="s">
        <v>714</v>
      </c>
      <c r="H73" s="284"/>
      <c r="I73" s="284"/>
      <c r="J73" s="302">
        <f t="shared" si="29"/>
        <v>0</v>
      </c>
      <c r="K73" s="302">
        <f t="shared" si="29"/>
        <v>0</v>
      </c>
      <c r="L73" s="302">
        <f t="shared" si="29"/>
        <v>0</v>
      </c>
      <c r="M73" s="302">
        <f t="shared" si="29"/>
        <v>0</v>
      </c>
      <c r="N73" s="302">
        <f t="shared" si="29"/>
        <v>0</v>
      </c>
      <c r="O73" s="302">
        <f t="shared" si="29"/>
        <v>0</v>
      </c>
      <c r="P73" s="302">
        <f t="shared" si="29"/>
        <v>0</v>
      </c>
      <c r="Q73" s="302">
        <f t="shared" si="29"/>
        <v>0</v>
      </c>
      <c r="R73" s="302">
        <f t="shared" si="29"/>
        <v>1</v>
      </c>
      <c r="S73" s="302">
        <f t="shared" si="29"/>
        <v>0</v>
      </c>
      <c r="T73" s="302">
        <f t="shared" si="29"/>
        <v>0</v>
      </c>
      <c r="U73" s="302">
        <f t="shared" si="29"/>
        <v>0</v>
      </c>
      <c r="V73" s="302">
        <f t="shared" si="29"/>
        <v>0</v>
      </c>
    </row>
    <row r="74" spans="1:22" outlineLevel="2">
      <c r="E74" s="151" t="s">
        <v>811</v>
      </c>
      <c r="G74" s="151" t="s">
        <v>714</v>
      </c>
      <c r="J74" s="151">
        <f t="shared" ref="J74:V74" si="30" xml:space="preserve"> IF($F$57 = J$59, J66, 0)</f>
        <v>0</v>
      </c>
      <c r="K74" s="151">
        <f t="shared" si="30"/>
        <v>0</v>
      </c>
      <c r="L74" s="151">
        <f t="shared" si="30"/>
        <v>0</v>
      </c>
      <c r="M74" s="151">
        <f t="shared" si="30"/>
        <v>0</v>
      </c>
      <c r="N74" s="151">
        <f t="shared" si="30"/>
        <v>0</v>
      </c>
      <c r="O74" s="151">
        <f t="shared" si="30"/>
        <v>0</v>
      </c>
      <c r="P74" s="151">
        <f t="shared" si="30"/>
        <v>0</v>
      </c>
      <c r="Q74" s="151">
        <f t="shared" si="30"/>
        <v>0</v>
      </c>
      <c r="R74" s="151">
        <f t="shared" si="30"/>
        <v>1</v>
      </c>
      <c r="S74" s="151">
        <f t="shared" si="30"/>
        <v>0</v>
      </c>
      <c r="T74" s="151">
        <f t="shared" si="30"/>
        <v>0</v>
      </c>
      <c r="U74" s="151">
        <f t="shared" si="30"/>
        <v>0</v>
      </c>
      <c r="V74" s="151">
        <f t="shared" si="30"/>
        <v>0</v>
      </c>
    </row>
    <row r="75" spans="1:22" s="162" customFormat="1" ht="12.75" customHeight="1" outlineLevel="2">
      <c r="A75" s="160"/>
      <c r="B75" s="160"/>
      <c r="C75" s="161"/>
      <c r="D75" s="212"/>
      <c r="E75" s="151" t="s">
        <v>812</v>
      </c>
      <c r="F75"/>
      <c r="G75" s="151" t="s">
        <v>714</v>
      </c>
      <c r="H75"/>
      <c r="I75"/>
      <c r="J75" s="151">
        <f t="shared" ref="J75:V75" si="31" xml:space="preserve"> IF($F$57 = J$59, J67, 0)</f>
        <v>0</v>
      </c>
      <c r="K75" s="151">
        <f t="shared" si="31"/>
        <v>0</v>
      </c>
      <c r="L75" s="151">
        <f t="shared" si="31"/>
        <v>0</v>
      </c>
      <c r="M75" s="151">
        <f t="shared" si="31"/>
        <v>0</v>
      </c>
      <c r="N75" s="151">
        <f t="shared" si="31"/>
        <v>0</v>
      </c>
      <c r="O75" s="151">
        <f t="shared" si="31"/>
        <v>0</v>
      </c>
      <c r="P75" s="151">
        <f t="shared" si="31"/>
        <v>0</v>
      </c>
      <c r="Q75" s="151">
        <f t="shared" si="31"/>
        <v>0</v>
      </c>
      <c r="R75" s="151">
        <f t="shared" si="31"/>
        <v>1</v>
      </c>
      <c r="S75" s="151">
        <f t="shared" si="31"/>
        <v>0</v>
      </c>
      <c r="T75" s="151">
        <f t="shared" si="31"/>
        <v>0</v>
      </c>
      <c r="U75" s="151">
        <f t="shared" si="31"/>
        <v>0</v>
      </c>
      <c r="V75" s="151">
        <f t="shared" si="31"/>
        <v>0</v>
      </c>
    </row>
    <row r="76" spans="1:22" outlineLevel="2"/>
    <row r="77" spans="1:22" outlineLevel="2">
      <c r="A77" s="352" t="str">
        <f xml:space="preserve"> Calc!A$188</f>
        <v>C048</v>
      </c>
      <c r="E77" s="171" t="str">
        <f xml:space="preserve"> Calc!E$188</f>
        <v>Water resources revenue adjustment</v>
      </c>
      <c r="F77" s="171">
        <f xml:space="preserve"> Calc!F$188</f>
        <v>1.4552389089808715</v>
      </c>
      <c r="G77" s="171" t="str">
        <f xml:space="preserve"> Calc!G$188</f>
        <v>£m</v>
      </c>
      <c r="H77" s="171"/>
      <c r="I77" s="171"/>
      <c r="J77" s="171"/>
      <c r="K77" s="171"/>
      <c r="L77" s="171"/>
      <c r="M77" s="171"/>
      <c r="N77" s="171"/>
      <c r="O77" s="171"/>
      <c r="P77" s="171"/>
      <c r="Q77" s="171"/>
      <c r="R77" s="171"/>
      <c r="S77" s="171"/>
      <c r="T77" s="171"/>
      <c r="U77" s="171"/>
      <c r="V77" s="171"/>
    </row>
    <row r="78" spans="1:22" outlineLevel="2">
      <c r="A78" s="352" t="str">
        <f xml:space="preserve"> Calc!A$198</f>
        <v>C058</v>
      </c>
      <c r="E78" s="171" t="str">
        <f xml:space="preserve"> Calc!E$198</f>
        <v>Water network plus revenue adjustment</v>
      </c>
      <c r="F78" s="171">
        <f xml:space="preserve"> Calc!F$198</f>
        <v>-3.9561422547435328</v>
      </c>
      <c r="G78" s="171" t="str">
        <f xml:space="preserve"> Calc!G$198</f>
        <v>£m</v>
      </c>
      <c r="H78" s="171"/>
      <c r="I78" s="171"/>
      <c r="J78" s="171"/>
      <c r="K78" s="171"/>
      <c r="L78" s="171"/>
      <c r="M78" s="171"/>
      <c r="N78" s="171"/>
      <c r="O78" s="171"/>
      <c r="P78" s="171"/>
      <c r="Q78" s="171"/>
      <c r="R78" s="171"/>
      <c r="S78" s="171"/>
      <c r="T78" s="171"/>
      <c r="U78" s="171"/>
      <c r="V78" s="171"/>
    </row>
    <row r="79" spans="1:22" s="265" customFormat="1" outlineLevel="2">
      <c r="A79" s="352" t="str">
        <f xml:space="preserve"> Calc!A$203</f>
        <v>C068</v>
      </c>
      <c r="B79" s="10"/>
      <c r="C79" s="2"/>
      <c r="D79" s="3"/>
      <c r="E79" s="171" t="str">
        <f xml:space="preserve"> Calc!E$203</f>
        <v>Bioresources revenue adjustment</v>
      </c>
      <c r="F79" s="171">
        <f xml:space="preserve"> Calc!F$203</f>
        <v>0</v>
      </c>
      <c r="G79" s="171" t="str">
        <f xml:space="preserve"> Calc!G$203</f>
        <v>£m</v>
      </c>
      <c r="H79" s="171"/>
      <c r="I79" s="171"/>
      <c r="J79" s="171"/>
      <c r="K79" s="171"/>
      <c r="L79" s="171"/>
      <c r="M79" s="171"/>
      <c r="N79" s="171"/>
      <c r="O79" s="171"/>
      <c r="P79" s="171"/>
      <c r="Q79" s="171"/>
      <c r="R79" s="171"/>
      <c r="S79" s="171"/>
      <c r="T79" s="171"/>
      <c r="U79" s="171"/>
      <c r="V79" s="171"/>
    </row>
    <row r="80" spans="1:22" outlineLevel="2">
      <c r="A80" s="352" t="str">
        <f xml:space="preserve"> Calc!A$211</f>
        <v>C078</v>
      </c>
      <c r="E80" s="171" t="str">
        <f xml:space="preserve"> Calc!E$211</f>
        <v>Wastewater network plus revenue adjustment</v>
      </c>
      <c r="F80" s="171">
        <f xml:space="preserve"> Calc!F$211</f>
        <v>0</v>
      </c>
      <c r="G80" s="171" t="str">
        <f xml:space="preserve"> Calc!G$211</f>
        <v>£m</v>
      </c>
      <c r="H80" s="171"/>
      <c r="I80" s="171"/>
      <c r="J80" s="171"/>
      <c r="K80" s="171"/>
      <c r="L80" s="171"/>
      <c r="M80" s="171"/>
      <c r="N80" s="171"/>
      <c r="O80" s="171"/>
      <c r="P80" s="171"/>
      <c r="Q80" s="171"/>
      <c r="R80" s="171"/>
      <c r="S80" s="171"/>
      <c r="T80" s="171"/>
      <c r="U80" s="171"/>
      <c r="V80" s="171"/>
    </row>
    <row r="81" spans="1:22" outlineLevel="2">
      <c r="A81" s="352" t="str">
        <f>Calc!A$216</f>
        <v>C088</v>
      </c>
      <c r="E81" s="285" t="str">
        <f>Calc!E$216</f>
        <v>Dummy control revenue adjustment</v>
      </c>
      <c r="F81" s="285">
        <f>Calc!F$216</f>
        <v>0</v>
      </c>
      <c r="G81" s="285" t="str">
        <f>Calc!G$216</f>
        <v>£m</v>
      </c>
      <c r="H81" s="171"/>
      <c r="I81" s="171"/>
      <c r="J81" s="171"/>
      <c r="K81" s="171"/>
      <c r="L81" s="171"/>
      <c r="M81" s="171"/>
      <c r="N81" s="171"/>
      <c r="O81" s="171"/>
      <c r="P81" s="171"/>
      <c r="Q81" s="171"/>
      <c r="R81" s="171"/>
      <c r="S81" s="171"/>
      <c r="T81" s="171"/>
      <c r="U81" s="171"/>
      <c r="V81" s="171"/>
    </row>
    <row r="82" spans="1:22" outlineLevel="2">
      <c r="A82" s="352" t="str">
        <f xml:space="preserve"> Calc!A$223</f>
        <v>C098</v>
      </c>
      <c r="E82" s="171" t="str">
        <f xml:space="preserve"> Calc!E$223</f>
        <v>Residential retail revenue adjustment</v>
      </c>
      <c r="F82" s="171">
        <f xml:space="preserve"> Calc!F$223</f>
        <v>-11.199571121778545</v>
      </c>
      <c r="G82" s="171" t="str">
        <f xml:space="preserve"> Calc!G$223</f>
        <v>£m</v>
      </c>
      <c r="H82" s="171"/>
      <c r="I82" s="171"/>
      <c r="J82" s="171"/>
      <c r="K82" s="171"/>
      <c r="L82" s="171"/>
      <c r="M82" s="171"/>
      <c r="N82" s="171"/>
      <c r="O82" s="171"/>
      <c r="P82" s="171"/>
      <c r="Q82" s="171"/>
      <c r="R82" s="171"/>
      <c r="S82" s="171"/>
      <c r="T82" s="171"/>
      <c r="U82" s="171"/>
      <c r="V82" s="171"/>
    </row>
    <row r="83" spans="1:22" s="265" customFormat="1" outlineLevel="2">
      <c r="A83" s="352" t="str">
        <f xml:space="preserve"> Calc!A$228</f>
        <v>C108</v>
      </c>
      <c r="B83" s="10"/>
      <c r="C83" s="2"/>
      <c r="D83" s="3"/>
      <c r="E83" s="171" t="str">
        <f xml:space="preserve"> Calc!E$228</f>
        <v>Business retail revenue adjustment</v>
      </c>
      <c r="F83" s="171">
        <f xml:space="preserve"> Calc!F$228</f>
        <v>0</v>
      </c>
      <c r="G83" s="171" t="str">
        <f xml:space="preserve"> Calc!G$228</f>
        <v>£m</v>
      </c>
      <c r="H83" s="171"/>
      <c r="I83" s="171"/>
      <c r="J83" s="171"/>
      <c r="K83" s="171"/>
      <c r="L83" s="171"/>
      <c r="M83" s="171"/>
      <c r="N83" s="171"/>
      <c r="O83" s="171"/>
      <c r="P83" s="171"/>
      <c r="Q83" s="171"/>
      <c r="R83" s="171"/>
      <c r="S83" s="171"/>
      <c r="T83" s="171"/>
      <c r="U83" s="171"/>
      <c r="V83" s="171"/>
    </row>
    <row r="84" spans="1:22" ht="5.0999999999999996" customHeight="1" outlineLevel="2"/>
    <row r="85" spans="1:22" outlineLevel="2">
      <c r="E85" s="197" t="str">
        <f t="shared" ref="E85:F85" si="32" xml:space="preserve"> E$69</f>
        <v>PV discount factor at base date - Water resources</v>
      </c>
      <c r="F85" s="197">
        <f t="shared" si="32"/>
        <v>0</v>
      </c>
      <c r="G85" s="197" t="str">
        <f t="shared" ref="G85:V85" si="33" xml:space="preserve"> G$69</f>
        <v>factor</v>
      </c>
      <c r="H85" s="197">
        <f t="shared" si="33"/>
        <v>0</v>
      </c>
      <c r="I85" s="197">
        <f t="shared" si="33"/>
        <v>0</v>
      </c>
      <c r="J85" s="197">
        <f t="shared" si="33"/>
        <v>0</v>
      </c>
      <c r="K85" s="197">
        <f t="shared" si="33"/>
        <v>0</v>
      </c>
      <c r="L85" s="197">
        <f t="shared" si="33"/>
        <v>0</v>
      </c>
      <c r="M85" s="197">
        <f t="shared" si="33"/>
        <v>0</v>
      </c>
      <c r="N85" s="197">
        <f t="shared" si="33"/>
        <v>0</v>
      </c>
      <c r="O85" s="197">
        <f t="shared" si="33"/>
        <v>0</v>
      </c>
      <c r="P85" s="197">
        <f t="shared" si="33"/>
        <v>0</v>
      </c>
      <c r="Q85" s="197">
        <f t="shared" si="33"/>
        <v>0</v>
      </c>
      <c r="R85" s="197">
        <f t="shared" si="33"/>
        <v>1</v>
      </c>
      <c r="S85" s="197">
        <f t="shared" si="33"/>
        <v>0</v>
      </c>
      <c r="T85" s="197">
        <f t="shared" si="33"/>
        <v>0</v>
      </c>
      <c r="U85" s="197">
        <f t="shared" si="33"/>
        <v>0</v>
      </c>
      <c r="V85" s="197">
        <f t="shared" si="33"/>
        <v>0</v>
      </c>
    </row>
    <row r="86" spans="1:22" outlineLevel="2">
      <c r="E86" s="197" t="str">
        <f t="shared" ref="E86:V86" si="34" xml:space="preserve"> E$70</f>
        <v>PV discount factor at base date - Water network</v>
      </c>
      <c r="F86" s="197">
        <f t="shared" si="34"/>
        <v>0</v>
      </c>
      <c r="G86" s="197" t="str">
        <f t="shared" si="34"/>
        <v>factor</v>
      </c>
      <c r="H86" s="197">
        <f t="shared" si="34"/>
        <v>0</v>
      </c>
      <c r="I86" s="197">
        <f t="shared" si="34"/>
        <v>0</v>
      </c>
      <c r="J86" s="197">
        <f t="shared" si="34"/>
        <v>0</v>
      </c>
      <c r="K86" s="197">
        <f t="shared" si="34"/>
        <v>0</v>
      </c>
      <c r="L86" s="197">
        <f t="shared" si="34"/>
        <v>0</v>
      </c>
      <c r="M86" s="197">
        <f t="shared" si="34"/>
        <v>0</v>
      </c>
      <c r="N86" s="197">
        <f t="shared" si="34"/>
        <v>0</v>
      </c>
      <c r="O86" s="197">
        <f t="shared" si="34"/>
        <v>0</v>
      </c>
      <c r="P86" s="197">
        <f t="shared" si="34"/>
        <v>0</v>
      </c>
      <c r="Q86" s="197">
        <f t="shared" si="34"/>
        <v>0</v>
      </c>
      <c r="R86" s="197">
        <f t="shared" si="34"/>
        <v>1</v>
      </c>
      <c r="S86" s="197">
        <f t="shared" si="34"/>
        <v>0</v>
      </c>
      <c r="T86" s="197">
        <f t="shared" si="34"/>
        <v>0</v>
      </c>
      <c r="U86" s="197">
        <f t="shared" si="34"/>
        <v>0</v>
      </c>
      <c r="V86" s="197">
        <f t="shared" si="34"/>
        <v>0</v>
      </c>
    </row>
    <row r="87" spans="1:22" s="265" customFormat="1" outlineLevel="2">
      <c r="A87" s="10"/>
      <c r="B87" s="10"/>
      <c r="C87" s="2"/>
      <c r="D87" s="3"/>
      <c r="E87" s="197" t="str">
        <f xml:space="preserve"> E$71</f>
        <v>PV discount factor at base date - Bioresources</v>
      </c>
      <c r="F87" s="197">
        <f t="shared" ref="F87:V87" si="35" xml:space="preserve"> F$71</f>
        <v>0</v>
      </c>
      <c r="G87" s="197" t="str">
        <f t="shared" si="35"/>
        <v>factor</v>
      </c>
      <c r="H87" s="197">
        <f t="shared" si="35"/>
        <v>0</v>
      </c>
      <c r="I87" s="197">
        <f t="shared" si="35"/>
        <v>0</v>
      </c>
      <c r="J87" s="197">
        <f t="shared" si="35"/>
        <v>0</v>
      </c>
      <c r="K87" s="197">
        <f t="shared" si="35"/>
        <v>0</v>
      </c>
      <c r="L87" s="197">
        <f t="shared" si="35"/>
        <v>0</v>
      </c>
      <c r="M87" s="197">
        <f t="shared" si="35"/>
        <v>0</v>
      </c>
      <c r="N87" s="197">
        <f t="shared" si="35"/>
        <v>0</v>
      </c>
      <c r="O87" s="197">
        <f t="shared" si="35"/>
        <v>0</v>
      </c>
      <c r="P87" s="197">
        <f t="shared" si="35"/>
        <v>0</v>
      </c>
      <c r="Q87" s="197">
        <f t="shared" si="35"/>
        <v>0</v>
      </c>
      <c r="R87" s="197">
        <f t="shared" si="35"/>
        <v>1</v>
      </c>
      <c r="S87" s="197">
        <f t="shared" si="35"/>
        <v>0</v>
      </c>
      <c r="T87" s="197">
        <f t="shared" si="35"/>
        <v>0</v>
      </c>
      <c r="U87" s="197">
        <f t="shared" si="35"/>
        <v>0</v>
      </c>
      <c r="V87" s="197">
        <f t="shared" si="35"/>
        <v>0</v>
      </c>
    </row>
    <row r="88" spans="1:22" outlineLevel="2">
      <c r="E88" s="197" t="str">
        <f t="shared" ref="E88:V88" si="36" xml:space="preserve"> E$72</f>
        <v>PV discount factor at base date - Wastewater network</v>
      </c>
      <c r="F88" s="197">
        <f t="shared" si="36"/>
        <v>0</v>
      </c>
      <c r="G88" s="197" t="str">
        <f t="shared" si="36"/>
        <v>factor</v>
      </c>
      <c r="H88" s="197">
        <f t="shared" si="36"/>
        <v>0</v>
      </c>
      <c r="I88" s="197">
        <f t="shared" si="36"/>
        <v>0</v>
      </c>
      <c r="J88" s="197">
        <f t="shared" si="36"/>
        <v>0</v>
      </c>
      <c r="K88" s="197">
        <f t="shared" si="36"/>
        <v>0</v>
      </c>
      <c r="L88" s="197">
        <f t="shared" si="36"/>
        <v>0</v>
      </c>
      <c r="M88" s="197">
        <f t="shared" si="36"/>
        <v>0</v>
      </c>
      <c r="N88" s="197">
        <f t="shared" si="36"/>
        <v>0</v>
      </c>
      <c r="O88" s="197">
        <f t="shared" si="36"/>
        <v>0</v>
      </c>
      <c r="P88" s="197">
        <f t="shared" si="36"/>
        <v>0</v>
      </c>
      <c r="Q88" s="197">
        <f t="shared" si="36"/>
        <v>0</v>
      </c>
      <c r="R88" s="197">
        <f t="shared" si="36"/>
        <v>1</v>
      </c>
      <c r="S88" s="197">
        <f t="shared" si="36"/>
        <v>0</v>
      </c>
      <c r="T88" s="197">
        <f t="shared" si="36"/>
        <v>0</v>
      </c>
      <c r="U88" s="197">
        <f t="shared" si="36"/>
        <v>0</v>
      </c>
      <c r="V88" s="197">
        <f t="shared" si="36"/>
        <v>0</v>
      </c>
    </row>
    <row r="89" spans="1:22" outlineLevel="2">
      <c r="E89" s="292" t="str">
        <f t="shared" ref="E89:V89" si="37" xml:space="preserve"> E$73</f>
        <v>PV discount factor at base date - Dummy control</v>
      </c>
      <c r="F89" s="292">
        <f t="shared" si="37"/>
        <v>0</v>
      </c>
      <c r="G89" s="292" t="str">
        <f t="shared" si="37"/>
        <v>factor</v>
      </c>
      <c r="H89" s="292">
        <f t="shared" si="37"/>
        <v>0</v>
      </c>
      <c r="I89" s="292">
        <f t="shared" si="37"/>
        <v>0</v>
      </c>
      <c r="J89" s="292">
        <f t="shared" si="37"/>
        <v>0</v>
      </c>
      <c r="K89" s="292">
        <f t="shared" si="37"/>
        <v>0</v>
      </c>
      <c r="L89" s="292">
        <f t="shared" si="37"/>
        <v>0</v>
      </c>
      <c r="M89" s="292">
        <f t="shared" si="37"/>
        <v>0</v>
      </c>
      <c r="N89" s="292">
        <f t="shared" si="37"/>
        <v>0</v>
      </c>
      <c r="O89" s="292">
        <f t="shared" si="37"/>
        <v>0</v>
      </c>
      <c r="P89" s="292">
        <f t="shared" si="37"/>
        <v>0</v>
      </c>
      <c r="Q89" s="292">
        <f t="shared" si="37"/>
        <v>0</v>
      </c>
      <c r="R89" s="292">
        <f t="shared" si="37"/>
        <v>1</v>
      </c>
      <c r="S89" s="292">
        <f t="shared" si="37"/>
        <v>0</v>
      </c>
      <c r="T89" s="292">
        <f t="shared" si="37"/>
        <v>0</v>
      </c>
      <c r="U89" s="292">
        <f t="shared" si="37"/>
        <v>0</v>
      </c>
      <c r="V89" s="292">
        <f t="shared" si="37"/>
        <v>0</v>
      </c>
    </row>
    <row r="90" spans="1:22" outlineLevel="2">
      <c r="E90" s="197" t="str">
        <f t="shared" ref="E90:V90" si="38" xml:space="preserve"> E$74</f>
        <v>PV discount factor at base date - Residential retail</v>
      </c>
      <c r="F90" s="197">
        <f t="shared" si="38"/>
        <v>0</v>
      </c>
      <c r="G90" s="197" t="str">
        <f t="shared" si="38"/>
        <v>factor</v>
      </c>
      <c r="H90" s="197">
        <f t="shared" si="38"/>
        <v>0</v>
      </c>
      <c r="I90" s="197">
        <f t="shared" si="38"/>
        <v>0</v>
      </c>
      <c r="J90" s="197">
        <f t="shared" si="38"/>
        <v>0</v>
      </c>
      <c r="K90" s="197">
        <f t="shared" si="38"/>
        <v>0</v>
      </c>
      <c r="L90" s="197">
        <f t="shared" si="38"/>
        <v>0</v>
      </c>
      <c r="M90" s="197">
        <f t="shared" si="38"/>
        <v>0</v>
      </c>
      <c r="N90" s="197">
        <f t="shared" si="38"/>
        <v>0</v>
      </c>
      <c r="O90" s="197">
        <f t="shared" si="38"/>
        <v>0</v>
      </c>
      <c r="P90" s="197">
        <f t="shared" si="38"/>
        <v>0</v>
      </c>
      <c r="Q90" s="197">
        <f t="shared" si="38"/>
        <v>0</v>
      </c>
      <c r="R90" s="197">
        <f t="shared" si="38"/>
        <v>1</v>
      </c>
      <c r="S90" s="197">
        <f t="shared" si="38"/>
        <v>0</v>
      </c>
      <c r="T90" s="197">
        <f t="shared" si="38"/>
        <v>0</v>
      </c>
      <c r="U90" s="197">
        <f t="shared" si="38"/>
        <v>0</v>
      </c>
      <c r="V90" s="197">
        <f t="shared" si="38"/>
        <v>0</v>
      </c>
    </row>
    <row r="91" spans="1:22" s="265" customFormat="1" outlineLevel="2">
      <c r="A91" s="10"/>
      <c r="B91" s="10"/>
      <c r="C91" s="2"/>
      <c r="D91" s="3"/>
      <c r="E91" s="197" t="str">
        <f xml:space="preserve"> E$75</f>
        <v>PV discount factor at base date - Business retail</v>
      </c>
      <c r="F91" s="197">
        <f t="shared" ref="F91:V91" si="39" xml:space="preserve"> F$75</f>
        <v>0</v>
      </c>
      <c r="G91" s="197" t="str">
        <f t="shared" si="39"/>
        <v>factor</v>
      </c>
      <c r="H91" s="197">
        <f t="shared" si="39"/>
        <v>0</v>
      </c>
      <c r="I91" s="197">
        <f t="shared" si="39"/>
        <v>0</v>
      </c>
      <c r="J91" s="197">
        <f t="shared" si="39"/>
        <v>0</v>
      </c>
      <c r="K91" s="197">
        <f t="shared" si="39"/>
        <v>0</v>
      </c>
      <c r="L91" s="197">
        <f t="shared" si="39"/>
        <v>0</v>
      </c>
      <c r="M91" s="197">
        <f t="shared" si="39"/>
        <v>0</v>
      </c>
      <c r="N91" s="197">
        <f t="shared" si="39"/>
        <v>0</v>
      </c>
      <c r="O91" s="197">
        <f t="shared" si="39"/>
        <v>0</v>
      </c>
      <c r="P91" s="197">
        <f t="shared" si="39"/>
        <v>0</v>
      </c>
      <c r="Q91" s="197">
        <f t="shared" si="39"/>
        <v>0</v>
      </c>
      <c r="R91" s="197">
        <f t="shared" si="39"/>
        <v>1</v>
      </c>
      <c r="S91" s="197">
        <f t="shared" si="39"/>
        <v>0</v>
      </c>
      <c r="T91" s="197">
        <f t="shared" si="39"/>
        <v>0</v>
      </c>
      <c r="U91" s="197">
        <f t="shared" si="39"/>
        <v>0</v>
      </c>
      <c r="V91" s="197">
        <f t="shared" si="39"/>
        <v>0</v>
      </c>
    </row>
    <row r="92" spans="1:22" ht="5.0999999999999996" customHeight="1" outlineLevel="2"/>
    <row r="93" spans="1:22" s="163" customFormat="1" outlineLevel="2">
      <c r="A93" s="149"/>
      <c r="B93" s="149"/>
      <c r="C93" s="150"/>
      <c r="D93" s="41"/>
      <c r="E93" s="163" t="s">
        <v>813</v>
      </c>
      <c r="G93" s="163" t="s">
        <v>174</v>
      </c>
      <c r="H93" s="163">
        <f t="shared" ref="H93:H99" si="40" xml:space="preserve"> SUM(J93:V93)</f>
        <v>1.4552389089808715</v>
      </c>
      <c r="J93" s="163">
        <f xml:space="preserve"> $F77 * J85</f>
        <v>0</v>
      </c>
      <c r="K93" s="163">
        <f t="shared" ref="K93:V93" si="41" xml:space="preserve"> $F77 * K85</f>
        <v>0</v>
      </c>
      <c r="L93" s="163">
        <f t="shared" si="41"/>
        <v>0</v>
      </c>
      <c r="M93" s="163">
        <f t="shared" si="41"/>
        <v>0</v>
      </c>
      <c r="N93" s="163">
        <f t="shared" si="41"/>
        <v>0</v>
      </c>
      <c r="O93" s="163">
        <f t="shared" si="41"/>
        <v>0</v>
      </c>
      <c r="P93" s="163">
        <f t="shared" si="41"/>
        <v>0</v>
      </c>
      <c r="Q93" s="163">
        <f t="shared" si="41"/>
        <v>0</v>
      </c>
      <c r="R93" s="163">
        <f t="shared" si="41"/>
        <v>1.4552389089808715</v>
      </c>
      <c r="S93" s="163">
        <f t="shared" si="41"/>
        <v>0</v>
      </c>
      <c r="T93" s="163">
        <f t="shared" si="41"/>
        <v>0</v>
      </c>
      <c r="U93" s="163">
        <f t="shared" si="41"/>
        <v>0</v>
      </c>
      <c r="V93" s="163">
        <f t="shared" si="41"/>
        <v>0</v>
      </c>
    </row>
    <row r="94" spans="1:22" s="163" customFormat="1" outlineLevel="2">
      <c r="A94" s="149"/>
      <c r="B94" s="149"/>
      <c r="C94" s="150"/>
      <c r="D94" s="41"/>
      <c r="E94" s="163" t="s">
        <v>814</v>
      </c>
      <c r="G94" s="163" t="s">
        <v>174</v>
      </c>
      <c r="H94" s="163">
        <f t="shared" si="40"/>
        <v>-3.9561422547435328</v>
      </c>
      <c r="J94" s="163">
        <f xml:space="preserve"> $F78 * J86</f>
        <v>0</v>
      </c>
      <c r="K94" s="163">
        <f t="shared" ref="K94:V94" si="42" xml:space="preserve"> $F78 * K86</f>
        <v>0</v>
      </c>
      <c r="L94" s="163">
        <f t="shared" si="42"/>
        <v>0</v>
      </c>
      <c r="M94" s="163">
        <f t="shared" si="42"/>
        <v>0</v>
      </c>
      <c r="N94" s="163">
        <f t="shared" si="42"/>
        <v>0</v>
      </c>
      <c r="O94" s="163">
        <f t="shared" si="42"/>
        <v>0</v>
      </c>
      <c r="P94" s="163">
        <f t="shared" si="42"/>
        <v>0</v>
      </c>
      <c r="Q94" s="163">
        <f t="shared" si="42"/>
        <v>0</v>
      </c>
      <c r="R94" s="163">
        <f t="shared" si="42"/>
        <v>-3.9561422547435328</v>
      </c>
      <c r="S94" s="163">
        <f t="shared" si="42"/>
        <v>0</v>
      </c>
      <c r="T94" s="163">
        <f t="shared" si="42"/>
        <v>0</v>
      </c>
      <c r="U94" s="163">
        <f t="shared" si="42"/>
        <v>0</v>
      </c>
      <c r="V94" s="163">
        <f t="shared" si="42"/>
        <v>0</v>
      </c>
    </row>
    <row r="95" spans="1:22" s="269" customFormat="1" outlineLevel="2">
      <c r="A95" s="149"/>
      <c r="B95" s="149"/>
      <c r="C95" s="150"/>
      <c r="D95" s="41"/>
      <c r="E95" s="163" t="s">
        <v>815</v>
      </c>
      <c r="F95" s="163"/>
      <c r="G95" s="163" t="s">
        <v>174</v>
      </c>
      <c r="H95" s="163">
        <f t="shared" si="40"/>
        <v>0</v>
      </c>
      <c r="I95" s="163"/>
      <c r="J95" s="163">
        <f xml:space="preserve"> $F79 * J87</f>
        <v>0</v>
      </c>
      <c r="K95" s="163">
        <f t="shared" ref="K95:V95" si="43" xml:space="preserve"> $F79 * K87</f>
        <v>0</v>
      </c>
      <c r="L95" s="163">
        <f t="shared" si="43"/>
        <v>0</v>
      </c>
      <c r="M95" s="163">
        <f t="shared" si="43"/>
        <v>0</v>
      </c>
      <c r="N95" s="163">
        <f t="shared" si="43"/>
        <v>0</v>
      </c>
      <c r="O95" s="163">
        <f t="shared" si="43"/>
        <v>0</v>
      </c>
      <c r="P95" s="163">
        <f t="shared" si="43"/>
        <v>0</v>
      </c>
      <c r="Q95" s="163">
        <f t="shared" si="43"/>
        <v>0</v>
      </c>
      <c r="R95" s="163">
        <f t="shared" si="43"/>
        <v>0</v>
      </c>
      <c r="S95" s="163">
        <f t="shared" si="43"/>
        <v>0</v>
      </c>
      <c r="T95" s="163">
        <f t="shared" si="43"/>
        <v>0</v>
      </c>
      <c r="U95" s="163">
        <f t="shared" si="43"/>
        <v>0</v>
      </c>
      <c r="V95" s="163">
        <f t="shared" si="43"/>
        <v>0</v>
      </c>
    </row>
    <row r="96" spans="1:22" s="163" customFormat="1" outlineLevel="2">
      <c r="A96" s="149"/>
      <c r="B96" s="149"/>
      <c r="C96" s="150"/>
      <c r="D96" s="41"/>
      <c r="E96" s="163" t="s">
        <v>816</v>
      </c>
      <c r="G96" s="163" t="s">
        <v>174</v>
      </c>
      <c r="H96" s="163">
        <f t="shared" si="40"/>
        <v>0</v>
      </c>
      <c r="J96" s="163">
        <f t="shared" ref="J96:V97" si="44" xml:space="preserve"> $F80 * J88</f>
        <v>0</v>
      </c>
      <c r="K96" s="163">
        <f t="shared" si="44"/>
        <v>0</v>
      </c>
      <c r="L96" s="163">
        <f t="shared" si="44"/>
        <v>0</v>
      </c>
      <c r="M96" s="163">
        <f t="shared" si="44"/>
        <v>0</v>
      </c>
      <c r="N96" s="163">
        <f t="shared" si="44"/>
        <v>0</v>
      </c>
      <c r="O96" s="163">
        <f t="shared" si="44"/>
        <v>0</v>
      </c>
      <c r="P96" s="163">
        <f t="shared" si="44"/>
        <v>0</v>
      </c>
      <c r="Q96" s="163">
        <f t="shared" si="44"/>
        <v>0</v>
      </c>
      <c r="R96" s="163">
        <f t="shared" si="44"/>
        <v>0</v>
      </c>
      <c r="S96" s="163">
        <f t="shared" si="44"/>
        <v>0</v>
      </c>
      <c r="T96" s="163">
        <f t="shared" si="44"/>
        <v>0</v>
      </c>
      <c r="U96" s="163">
        <f t="shared" si="44"/>
        <v>0</v>
      </c>
      <c r="V96" s="163">
        <f t="shared" si="44"/>
        <v>0</v>
      </c>
    </row>
    <row r="97" spans="1:22" s="163" customFormat="1" outlineLevel="2">
      <c r="A97" s="149"/>
      <c r="B97" s="149"/>
      <c r="C97" s="150"/>
      <c r="D97" s="41"/>
      <c r="E97" s="290" t="s">
        <v>817</v>
      </c>
      <c r="F97" s="290"/>
      <c r="G97" s="290" t="s">
        <v>174</v>
      </c>
      <c r="H97" s="290">
        <f t="shared" ref="H97" si="45" xml:space="preserve"> SUM(J97:V97)</f>
        <v>0</v>
      </c>
      <c r="I97" s="290"/>
      <c r="J97" s="290">
        <f t="shared" si="44"/>
        <v>0</v>
      </c>
      <c r="K97" s="290">
        <f t="shared" si="44"/>
        <v>0</v>
      </c>
      <c r="L97" s="290">
        <f t="shared" si="44"/>
        <v>0</v>
      </c>
      <c r="M97" s="290">
        <f t="shared" si="44"/>
        <v>0</v>
      </c>
      <c r="N97" s="290">
        <f t="shared" si="44"/>
        <v>0</v>
      </c>
      <c r="O97" s="290">
        <f t="shared" si="44"/>
        <v>0</v>
      </c>
      <c r="P97" s="290">
        <f t="shared" si="44"/>
        <v>0</v>
      </c>
      <c r="Q97" s="290">
        <f t="shared" si="44"/>
        <v>0</v>
      </c>
      <c r="R97" s="290">
        <f t="shared" si="44"/>
        <v>0</v>
      </c>
      <c r="S97" s="290">
        <f t="shared" si="44"/>
        <v>0</v>
      </c>
      <c r="T97" s="290">
        <f t="shared" si="44"/>
        <v>0</v>
      </c>
      <c r="U97" s="290">
        <f t="shared" si="44"/>
        <v>0</v>
      </c>
      <c r="V97" s="290">
        <f t="shared" si="44"/>
        <v>0</v>
      </c>
    </row>
    <row r="98" spans="1:22" s="163" customFormat="1" outlineLevel="2">
      <c r="A98" s="149"/>
      <c r="B98" s="149"/>
      <c r="C98" s="150"/>
      <c r="D98" s="41"/>
      <c r="E98" s="163" t="s">
        <v>818</v>
      </c>
      <c r="G98" s="163" t="s">
        <v>174</v>
      </c>
      <c r="H98" s="163">
        <f t="shared" si="40"/>
        <v>-11.199571121778545</v>
      </c>
      <c r="J98" s="163">
        <f t="shared" ref="J98:V98" si="46" xml:space="preserve"> $F82 * J90</f>
        <v>0</v>
      </c>
      <c r="K98" s="163">
        <f t="shared" si="46"/>
        <v>0</v>
      </c>
      <c r="L98" s="163">
        <f t="shared" si="46"/>
        <v>0</v>
      </c>
      <c r="M98" s="163">
        <f t="shared" si="46"/>
        <v>0</v>
      </c>
      <c r="N98" s="163">
        <f t="shared" si="46"/>
        <v>0</v>
      </c>
      <c r="O98" s="163">
        <f t="shared" si="46"/>
        <v>0</v>
      </c>
      <c r="P98" s="163">
        <f t="shared" si="46"/>
        <v>0</v>
      </c>
      <c r="Q98" s="163">
        <f t="shared" si="46"/>
        <v>0</v>
      </c>
      <c r="R98" s="163">
        <f t="shared" si="46"/>
        <v>-11.199571121778545</v>
      </c>
      <c r="S98" s="163">
        <f t="shared" si="46"/>
        <v>0</v>
      </c>
      <c r="T98" s="163">
        <f t="shared" si="46"/>
        <v>0</v>
      </c>
      <c r="U98" s="163">
        <f t="shared" si="46"/>
        <v>0</v>
      </c>
      <c r="V98" s="163">
        <f t="shared" si="46"/>
        <v>0</v>
      </c>
    </row>
    <row r="99" spans="1:22" s="269" customFormat="1" outlineLevel="2">
      <c r="A99" s="149"/>
      <c r="B99" s="149"/>
      <c r="C99" s="150"/>
      <c r="D99" s="41"/>
      <c r="E99" s="163" t="s">
        <v>819</v>
      </c>
      <c r="F99" s="163"/>
      <c r="G99" s="163" t="s">
        <v>174</v>
      </c>
      <c r="H99" s="163">
        <f t="shared" si="40"/>
        <v>0</v>
      </c>
      <c r="I99" s="163"/>
      <c r="J99" s="163">
        <f xml:space="preserve"> $F83 * J91</f>
        <v>0</v>
      </c>
      <c r="K99" s="163">
        <f t="shared" ref="K99:V99" si="47" xml:space="preserve"> $F83 * K91</f>
        <v>0</v>
      </c>
      <c r="L99" s="163">
        <f t="shared" si="47"/>
        <v>0</v>
      </c>
      <c r="M99" s="163">
        <f t="shared" si="47"/>
        <v>0</v>
      </c>
      <c r="N99" s="163">
        <f t="shared" si="47"/>
        <v>0</v>
      </c>
      <c r="O99" s="163">
        <f t="shared" si="47"/>
        <v>0</v>
      </c>
      <c r="P99" s="163">
        <f t="shared" si="47"/>
        <v>0</v>
      </c>
      <c r="Q99" s="163">
        <f t="shared" si="47"/>
        <v>0</v>
      </c>
      <c r="R99" s="163">
        <f t="shared" si="47"/>
        <v>0</v>
      </c>
      <c r="S99" s="163">
        <f t="shared" si="47"/>
        <v>0</v>
      </c>
      <c r="T99" s="163">
        <f t="shared" si="47"/>
        <v>0</v>
      </c>
      <c r="U99" s="163">
        <f t="shared" si="47"/>
        <v>0</v>
      </c>
      <c r="V99" s="163">
        <f t="shared" si="47"/>
        <v>0</v>
      </c>
    </row>
    <row r="100" spans="1:22" outlineLevel="1"/>
    <row r="101" spans="1:22" outlineLevel="1">
      <c r="B101" s="10" t="s">
        <v>820</v>
      </c>
    </row>
    <row r="102" spans="1:22" outlineLevel="2">
      <c r="A102" s="352" t="str">
        <f xml:space="preserve"> Calc!A$188</f>
        <v>C048</v>
      </c>
      <c r="E102" s="171" t="str">
        <f xml:space="preserve"> Calc!E$188</f>
        <v>Water resources revenue adjustment</v>
      </c>
      <c r="F102" s="171">
        <f xml:space="preserve"> Calc!F$188</f>
        <v>1.4552389089808715</v>
      </c>
      <c r="G102" s="171" t="str">
        <f xml:space="preserve"> Calc!G$188</f>
        <v>£m</v>
      </c>
      <c r="H102" s="171"/>
      <c r="I102" s="171"/>
      <c r="J102" s="171"/>
      <c r="K102" s="171"/>
      <c r="L102" s="171"/>
      <c r="M102" s="171"/>
      <c r="N102" s="171"/>
      <c r="O102" s="171"/>
      <c r="P102" s="171"/>
      <c r="Q102" s="171"/>
      <c r="R102" s="171"/>
      <c r="S102" s="171"/>
      <c r="T102" s="171"/>
      <c r="U102" s="171"/>
      <c r="V102" s="171"/>
    </row>
    <row r="103" spans="1:22" outlineLevel="2">
      <c r="A103" s="352" t="str">
        <f xml:space="preserve"> Calc!A$198</f>
        <v>C058</v>
      </c>
      <c r="E103" s="171" t="str">
        <f xml:space="preserve"> Calc!E$198</f>
        <v>Water network plus revenue adjustment</v>
      </c>
      <c r="F103" s="171">
        <f xml:space="preserve"> Calc!F$198</f>
        <v>-3.9561422547435328</v>
      </c>
      <c r="G103" s="171" t="str">
        <f xml:space="preserve"> Calc!G$198</f>
        <v>£m</v>
      </c>
      <c r="H103" s="171"/>
      <c r="I103" s="171"/>
      <c r="J103" s="171"/>
      <c r="K103" s="171"/>
      <c r="L103" s="171"/>
      <c r="M103" s="171"/>
      <c r="N103" s="171"/>
      <c r="O103" s="171"/>
      <c r="P103" s="171"/>
      <c r="Q103" s="171"/>
      <c r="R103" s="171"/>
      <c r="S103" s="171"/>
      <c r="T103" s="171"/>
      <c r="U103" s="171"/>
      <c r="V103" s="171"/>
    </row>
    <row r="104" spans="1:22" s="265" customFormat="1" outlineLevel="2">
      <c r="A104" s="352" t="str">
        <f xml:space="preserve"> Calc!A$203</f>
        <v>C068</v>
      </c>
      <c r="B104" s="10"/>
      <c r="C104" s="2"/>
      <c r="D104" s="3"/>
      <c r="E104" s="171" t="str">
        <f xml:space="preserve"> Calc!E$203</f>
        <v>Bioresources revenue adjustment</v>
      </c>
      <c r="F104" s="171">
        <f xml:space="preserve"> Calc!F$203</f>
        <v>0</v>
      </c>
      <c r="G104" s="171" t="str">
        <f xml:space="preserve"> Calc!G$203</f>
        <v>£m</v>
      </c>
      <c r="H104" s="171"/>
      <c r="I104" s="171"/>
      <c r="J104" s="171"/>
      <c r="K104" s="171"/>
      <c r="L104" s="171"/>
      <c r="M104" s="171"/>
      <c r="N104" s="171"/>
      <c r="O104" s="171"/>
      <c r="P104" s="171"/>
      <c r="Q104" s="171"/>
      <c r="R104" s="171"/>
      <c r="S104" s="171"/>
      <c r="T104" s="171"/>
      <c r="U104" s="171"/>
      <c r="V104" s="171"/>
    </row>
    <row r="105" spans="1:22" outlineLevel="2">
      <c r="A105" s="352" t="str">
        <f xml:space="preserve"> Calc!A$211</f>
        <v>C078</v>
      </c>
      <c r="E105" s="171" t="str">
        <f xml:space="preserve"> Calc!E$211</f>
        <v>Wastewater network plus revenue adjustment</v>
      </c>
      <c r="F105" s="171">
        <f xml:space="preserve"> Calc!F$211</f>
        <v>0</v>
      </c>
      <c r="G105" s="171" t="str">
        <f xml:space="preserve"> Calc!G$211</f>
        <v>£m</v>
      </c>
      <c r="H105" s="171"/>
      <c r="I105" s="171"/>
      <c r="J105" s="171"/>
      <c r="K105" s="171"/>
      <c r="L105" s="171"/>
      <c r="M105" s="171"/>
      <c r="N105" s="171"/>
      <c r="O105" s="171"/>
      <c r="P105" s="171"/>
      <c r="Q105" s="171"/>
      <c r="R105" s="171"/>
      <c r="S105" s="171"/>
      <c r="T105" s="171"/>
      <c r="U105" s="171"/>
      <c r="V105" s="171"/>
    </row>
    <row r="106" spans="1:22" outlineLevel="2">
      <c r="A106" s="352" t="str">
        <f>Calc!A$216</f>
        <v>C088</v>
      </c>
      <c r="E106" s="285" t="str">
        <f>Calc!E$216</f>
        <v>Dummy control revenue adjustment</v>
      </c>
      <c r="F106" s="285">
        <f>Calc!F$216</f>
        <v>0</v>
      </c>
      <c r="G106" s="285" t="str">
        <f>Calc!G$216</f>
        <v>£m</v>
      </c>
      <c r="H106" s="171"/>
      <c r="I106" s="171"/>
      <c r="J106" s="171"/>
      <c r="K106" s="171"/>
      <c r="L106" s="171"/>
      <c r="M106" s="171"/>
      <c r="N106" s="171"/>
      <c r="O106" s="171"/>
      <c r="P106" s="171"/>
      <c r="Q106" s="171"/>
      <c r="R106" s="171"/>
      <c r="S106" s="171"/>
      <c r="T106" s="171"/>
      <c r="U106" s="171"/>
      <c r="V106" s="171"/>
    </row>
    <row r="107" spans="1:22" outlineLevel="2">
      <c r="A107" s="352" t="str">
        <f xml:space="preserve"> Calc!A$223</f>
        <v>C098</v>
      </c>
      <c r="E107" s="171" t="str">
        <f xml:space="preserve"> Calc!E$223</f>
        <v>Residential retail revenue adjustment</v>
      </c>
      <c r="F107" s="171">
        <f xml:space="preserve"> Calc!F$223</f>
        <v>-11.199571121778545</v>
      </c>
      <c r="G107" s="171" t="str">
        <f xml:space="preserve"> Calc!G$223</f>
        <v>£m</v>
      </c>
      <c r="H107" s="171"/>
      <c r="I107" s="171"/>
      <c r="J107" s="171"/>
      <c r="K107" s="171"/>
      <c r="L107" s="171"/>
      <c r="M107" s="171"/>
      <c r="N107" s="171"/>
      <c r="O107" s="171"/>
      <c r="P107" s="171"/>
      <c r="Q107" s="171"/>
      <c r="R107" s="171"/>
      <c r="S107" s="171"/>
      <c r="T107" s="171"/>
      <c r="U107" s="171"/>
      <c r="V107" s="171"/>
    </row>
    <row r="108" spans="1:22" s="265" customFormat="1" outlineLevel="2">
      <c r="A108" s="352" t="str">
        <f xml:space="preserve"> Calc!A$228</f>
        <v>C108</v>
      </c>
      <c r="B108" s="10"/>
      <c r="C108" s="2"/>
      <c r="D108" s="3"/>
      <c r="E108" s="171" t="str">
        <f xml:space="preserve"> Calc!E$228</f>
        <v>Business retail revenue adjustment</v>
      </c>
      <c r="F108" s="171">
        <f xml:space="preserve"> Calc!F$228</f>
        <v>0</v>
      </c>
      <c r="G108" s="171" t="str">
        <f xml:space="preserve"> Calc!G$228</f>
        <v>£m</v>
      </c>
      <c r="H108" s="171"/>
      <c r="I108" s="171"/>
      <c r="J108" s="171"/>
      <c r="K108" s="171"/>
      <c r="L108" s="171"/>
      <c r="M108" s="171"/>
      <c r="N108" s="171"/>
      <c r="O108" s="171"/>
      <c r="P108" s="171"/>
      <c r="Q108" s="171"/>
      <c r="R108" s="171"/>
      <c r="S108" s="171"/>
      <c r="T108" s="171"/>
      <c r="U108" s="171"/>
      <c r="V108" s="171"/>
    </row>
    <row r="109" spans="1:22" ht="5.0999999999999996" customHeight="1" outlineLevel="2"/>
    <row r="110" spans="1:22" s="151" customFormat="1" outlineLevel="2">
      <c r="A110" s="183"/>
      <c r="B110" s="183"/>
      <c r="C110" s="184"/>
      <c r="D110" s="185"/>
      <c r="E110" s="151" t="str">
        <f t="shared" ref="E110:G110" si="48" xml:space="preserve"> E$45</f>
        <v>Equivalent Annual Cost (EAC) factor - Water resources</v>
      </c>
      <c r="F110" s="151">
        <f t="shared" si="48"/>
        <v>4.7089624450258523</v>
      </c>
      <c r="G110" s="151" t="str">
        <f t="shared" si="48"/>
        <v>factor</v>
      </c>
    </row>
    <row r="111" spans="1:22" s="197" customFormat="1" outlineLevel="2">
      <c r="A111" s="271"/>
      <c r="B111" s="271"/>
      <c r="C111" s="272"/>
      <c r="D111" s="206"/>
      <c r="E111" s="197" t="str">
        <f t="shared" ref="E111:G111" si="49" xml:space="preserve"> E$46</f>
        <v>Equivalent Annual Cost (EAC) factor - Water network</v>
      </c>
      <c r="F111" s="197">
        <f t="shared" si="49"/>
        <v>4.7089624450258523</v>
      </c>
      <c r="G111" s="197" t="str">
        <f t="shared" si="49"/>
        <v>factor</v>
      </c>
    </row>
    <row r="112" spans="1:22" s="197" customFormat="1" outlineLevel="2">
      <c r="A112" s="271"/>
      <c r="B112" s="271"/>
      <c r="C112" s="272"/>
      <c r="D112" s="206"/>
      <c r="E112" s="197" t="str">
        <f xml:space="preserve"> E$47</f>
        <v>Equivalent Annual Cost (EAC) factor - Bioresources</v>
      </c>
      <c r="F112" s="197">
        <f t="shared" ref="F112:G112" si="50" xml:space="preserve"> F$47</f>
        <v>4.7089624450258523</v>
      </c>
      <c r="G112" s="197" t="str">
        <f t="shared" si="50"/>
        <v>factor</v>
      </c>
    </row>
    <row r="113" spans="1:22" s="197" customFormat="1" outlineLevel="2">
      <c r="A113" s="271"/>
      <c r="B113" s="271"/>
      <c r="C113" s="272"/>
      <c r="D113" s="206"/>
      <c r="E113" s="197" t="str">
        <f xml:space="preserve"> E$48</f>
        <v>Equivalent Annual Cost (EAC) factor - Wastewater network</v>
      </c>
      <c r="F113" s="197">
        <f xml:space="preserve"> F$48</f>
        <v>4.7089624450258523</v>
      </c>
      <c r="G113" s="197" t="str">
        <f xml:space="preserve"> G$48</f>
        <v>factor</v>
      </c>
    </row>
    <row r="114" spans="1:22" s="197" customFormat="1" outlineLevel="2">
      <c r="A114" s="271"/>
      <c r="B114" s="271"/>
      <c r="C114" s="272"/>
      <c r="D114" s="206"/>
      <c r="E114" s="292" t="str">
        <f xml:space="preserve"> E$49</f>
        <v>Equivalent Annual Cost (EAC) factor - Dummy control</v>
      </c>
      <c r="F114" s="292">
        <f t="shared" ref="F114:G114" si="51" xml:space="preserve"> F$49</f>
        <v>4.7089624450258523</v>
      </c>
      <c r="G114" s="292" t="str">
        <f t="shared" si="51"/>
        <v>factor</v>
      </c>
    </row>
    <row r="115" spans="1:22" s="197" customFormat="1" outlineLevel="2">
      <c r="A115" s="271"/>
      <c r="B115" s="271"/>
      <c r="C115" s="272"/>
      <c r="D115" s="206"/>
      <c r="E115" s="197" t="str">
        <f t="shared" ref="E115:G115" si="52" xml:space="preserve"> E$50</f>
        <v>Equivalent Annual Cost (EAC) factor - Residential retail</v>
      </c>
      <c r="F115" s="197">
        <f t="shared" si="52"/>
        <v>4.7089624450258523</v>
      </c>
      <c r="G115" s="197" t="str">
        <f t="shared" si="52"/>
        <v>factor</v>
      </c>
    </row>
    <row r="116" spans="1:22" s="197" customFormat="1" outlineLevel="2">
      <c r="A116" s="271"/>
      <c r="B116" s="271"/>
      <c r="C116" s="272"/>
      <c r="D116" s="206"/>
      <c r="E116" s="197" t="str">
        <f xml:space="preserve"> E$51</f>
        <v>Equivalent Annual Cost (EAC) factor - Business retail</v>
      </c>
      <c r="F116" s="197">
        <f t="shared" ref="F116:G116" si="53" xml:space="preserve"> F$51</f>
        <v>4.7089624450258523</v>
      </c>
      <c r="G116" s="197" t="str">
        <f t="shared" si="53"/>
        <v>factor</v>
      </c>
    </row>
    <row r="117" spans="1:22" ht="5.0999999999999996" customHeight="1" outlineLevel="2"/>
    <row r="118" spans="1:22" ht="12.75" customHeight="1" outlineLevel="2">
      <c r="D118" s="17"/>
      <c r="E118" s="12" t="str">
        <f xml:space="preserve"> Time!E$49</f>
        <v>Forecast period flag</v>
      </c>
      <c r="F118" s="12">
        <f xml:space="preserve"> Time!F$49</f>
        <v>0</v>
      </c>
      <c r="G118" s="12" t="str">
        <f xml:space="preserve"> Time!G$49</f>
        <v>flag</v>
      </c>
      <c r="H118" s="12">
        <f xml:space="preserve"> Time!H$49</f>
        <v>5</v>
      </c>
      <c r="I118" s="12">
        <f xml:space="preserve"> Time!I$49</f>
        <v>0</v>
      </c>
      <c r="J118" s="12">
        <f xml:space="preserve"> Time!J$49</f>
        <v>0</v>
      </c>
      <c r="K118" s="12">
        <f xml:space="preserve"> Time!K$49</f>
        <v>0</v>
      </c>
      <c r="L118" s="12">
        <f xml:space="preserve"> Time!L$49</f>
        <v>0</v>
      </c>
      <c r="M118" s="12">
        <f xml:space="preserve"> Time!M$49</f>
        <v>0</v>
      </c>
      <c r="N118" s="12">
        <f xml:space="preserve"> Time!N$49</f>
        <v>0</v>
      </c>
      <c r="O118" s="12">
        <f xml:space="preserve"> Time!O$49</f>
        <v>0</v>
      </c>
      <c r="P118" s="12">
        <f xml:space="preserve"> Time!P$49</f>
        <v>0</v>
      </c>
      <c r="Q118" s="12">
        <f xml:space="preserve"> Time!Q$49</f>
        <v>0</v>
      </c>
      <c r="R118" s="12">
        <f xml:space="preserve"> Time!R$49</f>
        <v>1</v>
      </c>
      <c r="S118" s="12">
        <f xml:space="preserve"> Time!S$49</f>
        <v>1</v>
      </c>
      <c r="T118" s="12">
        <f xml:space="preserve"> Time!T$49</f>
        <v>1</v>
      </c>
      <c r="U118" s="12">
        <f xml:space="preserve"> Time!U$49</f>
        <v>1</v>
      </c>
      <c r="V118" s="12">
        <f xml:space="preserve"> Time!V$49</f>
        <v>1</v>
      </c>
    </row>
    <row r="119" spans="1:22" ht="5.0999999999999996" customHeight="1" outlineLevel="2"/>
    <row r="120" spans="1:22" s="163" customFormat="1" outlineLevel="2">
      <c r="A120" s="149"/>
      <c r="B120" s="149"/>
      <c r="C120" s="150"/>
      <c r="D120" s="41"/>
      <c r="E120" s="163" t="s">
        <v>821</v>
      </c>
      <c r="G120" s="163" t="s">
        <v>174</v>
      </c>
      <c r="H120" s="163">
        <f t="shared" ref="H120:H126" si="54" xml:space="preserve"> SUM(J120:V120)</f>
        <v>1.5451799902524834</v>
      </c>
      <c r="J120" s="163">
        <f xml:space="preserve"> ($F102 / $F110) * J$118</f>
        <v>0</v>
      </c>
      <c r="K120" s="163">
        <f t="shared" ref="K120:V120" si="55" xml:space="preserve"> ($F102 / $F110) * K$118</f>
        <v>0</v>
      </c>
      <c r="L120" s="163">
        <f t="shared" si="55"/>
        <v>0</v>
      </c>
      <c r="M120" s="163">
        <f t="shared" si="55"/>
        <v>0</v>
      </c>
      <c r="N120" s="163">
        <f t="shared" si="55"/>
        <v>0</v>
      </c>
      <c r="O120" s="163">
        <f t="shared" si="55"/>
        <v>0</v>
      </c>
      <c r="P120" s="163">
        <f t="shared" si="55"/>
        <v>0</v>
      </c>
      <c r="Q120" s="163">
        <f t="shared" si="55"/>
        <v>0</v>
      </c>
      <c r="R120" s="163">
        <f t="shared" si="55"/>
        <v>0.3090359980504967</v>
      </c>
      <c r="S120" s="163">
        <f t="shared" si="55"/>
        <v>0.3090359980504967</v>
      </c>
      <c r="T120" s="163">
        <f t="shared" si="55"/>
        <v>0.3090359980504967</v>
      </c>
      <c r="U120" s="163">
        <f t="shared" si="55"/>
        <v>0.3090359980504967</v>
      </c>
      <c r="V120" s="163">
        <f t="shared" si="55"/>
        <v>0.3090359980504967</v>
      </c>
    </row>
    <row r="121" spans="1:22" s="163" customFormat="1" outlineLevel="2">
      <c r="A121" s="149"/>
      <c r="B121" s="149"/>
      <c r="C121" s="150"/>
      <c r="D121" s="41"/>
      <c r="E121" s="163" t="s">
        <v>822</v>
      </c>
      <c r="G121" s="163" t="s">
        <v>174</v>
      </c>
      <c r="H121" s="163">
        <f t="shared" si="54"/>
        <v>-4.2006517369048728</v>
      </c>
      <c r="J121" s="163">
        <f xml:space="preserve"> ($F103 / $F111) * J$118</f>
        <v>0</v>
      </c>
      <c r="K121" s="163">
        <f t="shared" ref="K121:V121" si="56" xml:space="preserve"> ($F103 / $F111) * K$118</f>
        <v>0</v>
      </c>
      <c r="L121" s="163">
        <f t="shared" si="56"/>
        <v>0</v>
      </c>
      <c r="M121" s="163">
        <f t="shared" si="56"/>
        <v>0</v>
      </c>
      <c r="N121" s="163">
        <f t="shared" si="56"/>
        <v>0</v>
      </c>
      <c r="O121" s="163">
        <f t="shared" si="56"/>
        <v>0</v>
      </c>
      <c r="P121" s="163">
        <f t="shared" si="56"/>
        <v>0</v>
      </c>
      <c r="Q121" s="163">
        <f t="shared" si="56"/>
        <v>0</v>
      </c>
      <c r="R121" s="163">
        <f t="shared" si="56"/>
        <v>-0.84013034738097458</v>
      </c>
      <c r="S121" s="163">
        <f t="shared" si="56"/>
        <v>-0.84013034738097458</v>
      </c>
      <c r="T121" s="163">
        <f t="shared" si="56"/>
        <v>-0.84013034738097458</v>
      </c>
      <c r="U121" s="163">
        <f t="shared" si="56"/>
        <v>-0.84013034738097458</v>
      </c>
      <c r="V121" s="163">
        <f t="shared" si="56"/>
        <v>-0.84013034738097458</v>
      </c>
    </row>
    <row r="122" spans="1:22" s="163" customFormat="1" outlineLevel="2">
      <c r="A122" s="149"/>
      <c r="B122" s="149"/>
      <c r="C122" s="150"/>
      <c r="D122" s="41"/>
      <c r="E122" s="163" t="s">
        <v>823</v>
      </c>
      <c r="G122" s="163" t="s">
        <v>174</v>
      </c>
      <c r="H122" s="163">
        <f t="shared" si="54"/>
        <v>0</v>
      </c>
      <c r="J122" s="163">
        <f xml:space="preserve"> ($F104 / $F112) * J$118</f>
        <v>0</v>
      </c>
      <c r="K122" s="163">
        <f t="shared" ref="K122:V122" si="57" xml:space="preserve"> ($F104 / $F112) * K$118</f>
        <v>0</v>
      </c>
      <c r="L122" s="163">
        <f t="shared" si="57"/>
        <v>0</v>
      </c>
      <c r="M122" s="163">
        <f t="shared" si="57"/>
        <v>0</v>
      </c>
      <c r="N122" s="163">
        <f t="shared" si="57"/>
        <v>0</v>
      </c>
      <c r="O122" s="163">
        <f t="shared" si="57"/>
        <v>0</v>
      </c>
      <c r="P122" s="163">
        <f t="shared" si="57"/>
        <v>0</v>
      </c>
      <c r="Q122" s="163">
        <f t="shared" si="57"/>
        <v>0</v>
      </c>
      <c r="R122" s="163">
        <f t="shared" si="57"/>
        <v>0</v>
      </c>
      <c r="S122" s="163">
        <f t="shared" si="57"/>
        <v>0</v>
      </c>
      <c r="T122" s="163">
        <f t="shared" si="57"/>
        <v>0</v>
      </c>
      <c r="U122" s="163">
        <f t="shared" si="57"/>
        <v>0</v>
      </c>
      <c r="V122" s="163">
        <f t="shared" si="57"/>
        <v>0</v>
      </c>
    </row>
    <row r="123" spans="1:22" s="163" customFormat="1" outlineLevel="2">
      <c r="A123" s="149"/>
      <c r="B123" s="149"/>
      <c r="C123" s="150"/>
      <c r="D123" s="41"/>
      <c r="E123" s="163" t="s">
        <v>824</v>
      </c>
      <c r="G123" s="163" t="s">
        <v>174</v>
      </c>
      <c r="H123" s="163">
        <f t="shared" si="54"/>
        <v>0</v>
      </c>
      <c r="J123" s="163">
        <f t="shared" ref="J123:V124" si="58" xml:space="preserve"> ($F105 / $F113) * J$118</f>
        <v>0</v>
      </c>
      <c r="K123" s="163">
        <f t="shared" si="58"/>
        <v>0</v>
      </c>
      <c r="L123" s="163">
        <f t="shared" si="58"/>
        <v>0</v>
      </c>
      <c r="M123" s="163">
        <f t="shared" si="58"/>
        <v>0</v>
      </c>
      <c r="N123" s="163">
        <f t="shared" si="58"/>
        <v>0</v>
      </c>
      <c r="O123" s="163">
        <f t="shared" si="58"/>
        <v>0</v>
      </c>
      <c r="P123" s="163">
        <f t="shared" si="58"/>
        <v>0</v>
      </c>
      <c r="Q123" s="163">
        <f t="shared" si="58"/>
        <v>0</v>
      </c>
      <c r="R123" s="163">
        <f t="shared" si="58"/>
        <v>0</v>
      </c>
      <c r="S123" s="163">
        <f t="shared" si="58"/>
        <v>0</v>
      </c>
      <c r="T123" s="163">
        <f t="shared" si="58"/>
        <v>0</v>
      </c>
      <c r="U123" s="163">
        <f t="shared" si="58"/>
        <v>0</v>
      </c>
      <c r="V123" s="163">
        <f t="shared" si="58"/>
        <v>0</v>
      </c>
    </row>
    <row r="124" spans="1:22" s="163" customFormat="1" outlineLevel="2">
      <c r="A124" s="149"/>
      <c r="B124" s="149"/>
      <c r="C124" s="150"/>
      <c r="D124" s="41"/>
      <c r="E124" s="290" t="s">
        <v>825</v>
      </c>
      <c r="F124" s="290"/>
      <c r="G124" s="290" t="s">
        <v>174</v>
      </c>
      <c r="H124" s="290">
        <f t="shared" ref="H124" si="59" xml:space="preserve"> SUM(J124:V124)</f>
        <v>0</v>
      </c>
      <c r="I124" s="290"/>
      <c r="J124" s="290">
        <f t="shared" si="58"/>
        <v>0</v>
      </c>
      <c r="K124" s="290">
        <f t="shared" si="58"/>
        <v>0</v>
      </c>
      <c r="L124" s="290">
        <f t="shared" si="58"/>
        <v>0</v>
      </c>
      <c r="M124" s="290">
        <f t="shared" si="58"/>
        <v>0</v>
      </c>
      <c r="N124" s="290">
        <f t="shared" si="58"/>
        <v>0</v>
      </c>
      <c r="O124" s="290">
        <f t="shared" si="58"/>
        <v>0</v>
      </c>
      <c r="P124" s="290">
        <f t="shared" si="58"/>
        <v>0</v>
      </c>
      <c r="Q124" s="290">
        <f t="shared" si="58"/>
        <v>0</v>
      </c>
      <c r="R124" s="290">
        <f t="shared" si="58"/>
        <v>0</v>
      </c>
      <c r="S124" s="290">
        <f t="shared" si="58"/>
        <v>0</v>
      </c>
      <c r="T124" s="290">
        <f t="shared" si="58"/>
        <v>0</v>
      </c>
      <c r="U124" s="290">
        <f t="shared" si="58"/>
        <v>0</v>
      </c>
      <c r="V124" s="290">
        <f t="shared" si="58"/>
        <v>0</v>
      </c>
    </row>
    <row r="125" spans="1:22" s="163" customFormat="1" outlineLevel="2">
      <c r="A125" s="149"/>
      <c r="B125" s="149"/>
      <c r="C125" s="150"/>
      <c r="D125" s="41"/>
      <c r="E125" s="163" t="s">
        <v>826</v>
      </c>
      <c r="G125" s="163" t="s">
        <v>174</v>
      </c>
      <c r="H125" s="163">
        <f t="shared" si="54"/>
        <v>-11.891760926665301</v>
      </c>
      <c r="J125" s="163">
        <f t="shared" ref="J125:V125" si="60" xml:space="preserve"> ($F107 / $F115) * J$118</f>
        <v>0</v>
      </c>
      <c r="K125" s="163">
        <f t="shared" si="60"/>
        <v>0</v>
      </c>
      <c r="L125" s="163">
        <f t="shared" si="60"/>
        <v>0</v>
      </c>
      <c r="M125" s="163">
        <f t="shared" si="60"/>
        <v>0</v>
      </c>
      <c r="N125" s="163">
        <f t="shared" si="60"/>
        <v>0</v>
      </c>
      <c r="O125" s="163">
        <f t="shared" si="60"/>
        <v>0</v>
      </c>
      <c r="P125" s="163">
        <f t="shared" si="60"/>
        <v>0</v>
      </c>
      <c r="Q125" s="163">
        <f t="shared" si="60"/>
        <v>0</v>
      </c>
      <c r="R125" s="163">
        <f t="shared" si="60"/>
        <v>-2.37835218533306</v>
      </c>
      <c r="S125" s="163">
        <f t="shared" si="60"/>
        <v>-2.37835218533306</v>
      </c>
      <c r="T125" s="163">
        <f t="shared" si="60"/>
        <v>-2.37835218533306</v>
      </c>
      <c r="U125" s="163">
        <f t="shared" si="60"/>
        <v>-2.37835218533306</v>
      </c>
      <c r="V125" s="163">
        <f t="shared" si="60"/>
        <v>-2.37835218533306</v>
      </c>
    </row>
    <row r="126" spans="1:22" s="163" customFormat="1" outlineLevel="2">
      <c r="A126" s="149"/>
      <c r="B126" s="149"/>
      <c r="C126" s="150"/>
      <c r="D126" s="41"/>
      <c r="E126" s="163" t="s">
        <v>827</v>
      </c>
      <c r="G126" s="163" t="s">
        <v>174</v>
      </c>
      <c r="H126" s="163">
        <f t="shared" si="54"/>
        <v>0</v>
      </c>
      <c r="J126" s="163">
        <f t="shared" ref="J126:V126" si="61" xml:space="preserve"> ($F108 / $F116) * J$118</f>
        <v>0</v>
      </c>
      <c r="K126" s="163">
        <f t="shared" si="61"/>
        <v>0</v>
      </c>
      <c r="L126" s="163">
        <f t="shared" si="61"/>
        <v>0</v>
      </c>
      <c r="M126" s="163">
        <f t="shared" si="61"/>
        <v>0</v>
      </c>
      <c r="N126" s="163">
        <f t="shared" si="61"/>
        <v>0</v>
      </c>
      <c r="O126" s="163">
        <f t="shared" si="61"/>
        <v>0</v>
      </c>
      <c r="P126" s="163">
        <f t="shared" si="61"/>
        <v>0</v>
      </c>
      <c r="Q126" s="163">
        <f t="shared" si="61"/>
        <v>0</v>
      </c>
      <c r="R126" s="163">
        <f t="shared" si="61"/>
        <v>0</v>
      </c>
      <c r="S126" s="163">
        <f t="shared" si="61"/>
        <v>0</v>
      </c>
      <c r="T126" s="163">
        <f t="shared" si="61"/>
        <v>0</v>
      </c>
      <c r="U126" s="163">
        <f t="shared" si="61"/>
        <v>0</v>
      </c>
      <c r="V126" s="163">
        <f t="shared" si="61"/>
        <v>0</v>
      </c>
    </row>
    <row r="127" spans="1:22" outlineLevel="2"/>
    <row r="128" spans="1:22" outlineLevel="2">
      <c r="E128" s="163" t="str">
        <f t="shared" ref="E128:F128" si="62" xml:space="preserve"> E$120</f>
        <v>Water resources revenue adjustment - EAC factor adjusted</v>
      </c>
      <c r="F128" s="163">
        <f t="shared" si="62"/>
        <v>0</v>
      </c>
      <c r="G128" s="163" t="str">
        <f t="shared" ref="G128" si="63" xml:space="preserve"> G$120</f>
        <v>£m</v>
      </c>
      <c r="H128" s="163">
        <f t="shared" ref="H128" si="64" xml:space="preserve"> H$120</f>
        <v>1.5451799902524834</v>
      </c>
      <c r="I128" s="163">
        <f t="shared" ref="I128" si="65" xml:space="preserve"> I$120</f>
        <v>0</v>
      </c>
      <c r="J128" s="163">
        <f t="shared" ref="J128" si="66" xml:space="preserve"> J$120</f>
        <v>0</v>
      </c>
      <c r="K128" s="163">
        <f t="shared" ref="K128" si="67" xml:space="preserve"> K$120</f>
        <v>0</v>
      </c>
      <c r="L128" s="163">
        <f t="shared" ref="L128" si="68" xml:space="preserve"> L$120</f>
        <v>0</v>
      </c>
      <c r="M128" s="163">
        <f t="shared" ref="M128" si="69" xml:space="preserve"> M$120</f>
        <v>0</v>
      </c>
      <c r="N128" s="163">
        <f t="shared" ref="N128" si="70" xml:space="preserve"> N$120</f>
        <v>0</v>
      </c>
      <c r="O128" s="163">
        <f t="shared" ref="O128" si="71" xml:space="preserve"> O$120</f>
        <v>0</v>
      </c>
      <c r="P128" s="163">
        <f t="shared" ref="P128" si="72" xml:space="preserve"> P$120</f>
        <v>0</v>
      </c>
      <c r="Q128" s="163">
        <f t="shared" ref="Q128" si="73" xml:space="preserve"> Q$120</f>
        <v>0</v>
      </c>
      <c r="R128" s="163">
        <f t="shared" ref="R128" si="74" xml:space="preserve"> R$120</f>
        <v>0.3090359980504967</v>
      </c>
      <c r="S128" s="163">
        <f t="shared" ref="S128" si="75" xml:space="preserve"> S$120</f>
        <v>0.3090359980504967</v>
      </c>
      <c r="T128" s="163">
        <f t="shared" ref="T128" si="76" xml:space="preserve"> T$120</f>
        <v>0.3090359980504967</v>
      </c>
      <c r="U128" s="163">
        <f t="shared" ref="U128" si="77" xml:space="preserve"> U$120</f>
        <v>0.3090359980504967</v>
      </c>
      <c r="V128" s="163">
        <f xml:space="preserve"> V$120</f>
        <v>0.3090359980504967</v>
      </c>
    </row>
    <row r="129" spans="1:22" outlineLevel="2">
      <c r="E129" s="163" t="str">
        <f t="shared" ref="E129:F129" si="78" xml:space="preserve"> E$121</f>
        <v>Water network revenue adjustment - EAC factor adjusted</v>
      </c>
      <c r="F129" s="163">
        <f t="shared" si="78"/>
        <v>0</v>
      </c>
      <c r="G129" s="163" t="str">
        <f t="shared" ref="G129" si="79" xml:space="preserve"> G$121</f>
        <v>£m</v>
      </c>
      <c r="H129" s="163">
        <f t="shared" ref="H129" si="80" xml:space="preserve"> H$121</f>
        <v>-4.2006517369048728</v>
      </c>
      <c r="I129" s="163">
        <f t="shared" ref="I129" si="81" xml:space="preserve"> I$121</f>
        <v>0</v>
      </c>
      <c r="J129" s="163">
        <f t="shared" ref="J129" si="82" xml:space="preserve"> J$121</f>
        <v>0</v>
      </c>
      <c r="K129" s="163">
        <f t="shared" ref="K129" si="83" xml:space="preserve"> K$121</f>
        <v>0</v>
      </c>
      <c r="L129" s="163">
        <f t="shared" ref="L129" si="84" xml:space="preserve"> L$121</f>
        <v>0</v>
      </c>
      <c r="M129" s="163">
        <f t="shared" ref="M129" si="85" xml:space="preserve"> M$121</f>
        <v>0</v>
      </c>
      <c r="N129" s="163">
        <f t="shared" ref="N129" si="86" xml:space="preserve"> N$121</f>
        <v>0</v>
      </c>
      <c r="O129" s="163">
        <f t="shared" ref="O129" si="87" xml:space="preserve"> O$121</f>
        <v>0</v>
      </c>
      <c r="P129" s="163">
        <f t="shared" ref="P129" si="88" xml:space="preserve"> P$121</f>
        <v>0</v>
      </c>
      <c r="Q129" s="163">
        <f t="shared" ref="Q129" si="89" xml:space="preserve"> Q$121</f>
        <v>0</v>
      </c>
      <c r="R129" s="163">
        <f t="shared" ref="R129" si="90" xml:space="preserve"> R$121</f>
        <v>-0.84013034738097458</v>
      </c>
      <c r="S129" s="163">
        <f t="shared" ref="S129" si="91" xml:space="preserve"> S$121</f>
        <v>-0.84013034738097458</v>
      </c>
      <c r="T129" s="163">
        <f t="shared" ref="T129" si="92" xml:space="preserve"> T$121</f>
        <v>-0.84013034738097458</v>
      </c>
      <c r="U129" s="163">
        <f t="shared" ref="U129" si="93" xml:space="preserve"> U$121</f>
        <v>-0.84013034738097458</v>
      </c>
      <c r="V129" s="163">
        <f xml:space="preserve"> V$121</f>
        <v>-0.84013034738097458</v>
      </c>
    </row>
    <row r="130" spans="1:22" s="265" customFormat="1" outlineLevel="2">
      <c r="A130" s="10"/>
      <c r="B130" s="10"/>
      <c r="C130" s="2"/>
      <c r="D130" s="3"/>
      <c r="E130" s="163" t="str">
        <f xml:space="preserve"> E$122</f>
        <v>Bioresources revenue adjustment - EAC factor adjusted</v>
      </c>
      <c r="F130" s="163">
        <f t="shared" ref="F130:V130" si="94" xml:space="preserve"> F$122</f>
        <v>0</v>
      </c>
      <c r="G130" s="163" t="str">
        <f t="shared" si="94"/>
        <v>£m</v>
      </c>
      <c r="H130" s="163">
        <f t="shared" si="94"/>
        <v>0</v>
      </c>
      <c r="I130" s="163">
        <f t="shared" si="94"/>
        <v>0</v>
      </c>
      <c r="J130" s="163">
        <f t="shared" si="94"/>
        <v>0</v>
      </c>
      <c r="K130" s="163">
        <f t="shared" si="94"/>
        <v>0</v>
      </c>
      <c r="L130" s="163">
        <f t="shared" si="94"/>
        <v>0</v>
      </c>
      <c r="M130" s="163">
        <f t="shared" si="94"/>
        <v>0</v>
      </c>
      <c r="N130" s="163">
        <f t="shared" si="94"/>
        <v>0</v>
      </c>
      <c r="O130" s="163">
        <f t="shared" si="94"/>
        <v>0</v>
      </c>
      <c r="P130" s="163">
        <f t="shared" si="94"/>
        <v>0</v>
      </c>
      <c r="Q130" s="163">
        <f t="shared" si="94"/>
        <v>0</v>
      </c>
      <c r="R130" s="163">
        <f t="shared" si="94"/>
        <v>0</v>
      </c>
      <c r="S130" s="163">
        <f t="shared" si="94"/>
        <v>0</v>
      </c>
      <c r="T130" s="163">
        <f t="shared" si="94"/>
        <v>0</v>
      </c>
      <c r="U130" s="163">
        <f t="shared" si="94"/>
        <v>0</v>
      </c>
      <c r="V130" s="163">
        <f t="shared" si="94"/>
        <v>0</v>
      </c>
    </row>
    <row r="131" spans="1:22" outlineLevel="2">
      <c r="E131" s="163" t="str">
        <f xml:space="preserve"> E$123</f>
        <v>Wastewater network revenue adjustment - EAC factor adjusted</v>
      </c>
      <c r="F131" s="163">
        <f xml:space="preserve"> F$123</f>
        <v>0</v>
      </c>
      <c r="G131" s="163" t="str">
        <f t="shared" ref="G131" si="95" xml:space="preserve"> G$123</f>
        <v>£m</v>
      </c>
      <c r="H131" s="163">
        <f t="shared" ref="H131" si="96" xml:space="preserve"> H$123</f>
        <v>0</v>
      </c>
      <c r="I131" s="163">
        <f t="shared" ref="I131" si="97" xml:space="preserve"> I$123</f>
        <v>0</v>
      </c>
      <c r="J131" s="163">
        <f t="shared" ref="J131" si="98" xml:space="preserve"> J$123</f>
        <v>0</v>
      </c>
      <c r="K131" s="163">
        <f t="shared" ref="K131" si="99" xml:space="preserve"> K$123</f>
        <v>0</v>
      </c>
      <c r="L131" s="163">
        <f t="shared" ref="L131" si="100" xml:space="preserve"> L$123</f>
        <v>0</v>
      </c>
      <c r="M131" s="163">
        <f t="shared" ref="M131" si="101" xml:space="preserve"> M$123</f>
        <v>0</v>
      </c>
      <c r="N131" s="163">
        <f t="shared" ref="N131" si="102" xml:space="preserve"> N$123</f>
        <v>0</v>
      </c>
      <c r="O131" s="163">
        <f t="shared" ref="O131" si="103" xml:space="preserve"> O$123</f>
        <v>0</v>
      </c>
      <c r="P131" s="163">
        <f t="shared" ref="P131" si="104" xml:space="preserve"> P$123</f>
        <v>0</v>
      </c>
      <c r="Q131" s="163">
        <f t="shared" ref="Q131" si="105" xml:space="preserve"> Q$123</f>
        <v>0</v>
      </c>
      <c r="R131" s="163">
        <f t="shared" ref="R131" si="106" xml:space="preserve"> R$123</f>
        <v>0</v>
      </c>
      <c r="S131" s="163">
        <f t="shared" ref="S131" si="107" xml:space="preserve"> S$123</f>
        <v>0</v>
      </c>
      <c r="T131" s="163">
        <f t="shared" ref="T131" si="108" xml:space="preserve"> T$123</f>
        <v>0</v>
      </c>
      <c r="U131" s="163">
        <f t="shared" ref="U131" si="109" xml:space="preserve"> U$123</f>
        <v>0</v>
      </c>
      <c r="V131" s="163">
        <f xml:space="preserve"> V$123</f>
        <v>0</v>
      </c>
    </row>
    <row r="132" spans="1:22" outlineLevel="2">
      <c r="E132" s="290" t="str">
        <f t="shared" ref="E132" si="110" xml:space="preserve"> E$124</f>
        <v>Dummy control revenue adjustment - EAC factor adjusted</v>
      </c>
      <c r="F132" s="290">
        <f t="shared" ref="F132" si="111" xml:space="preserve"> F$124</f>
        <v>0</v>
      </c>
      <c r="G132" s="290" t="str">
        <f t="shared" ref="G132" si="112" xml:space="preserve"> G$124</f>
        <v>£m</v>
      </c>
      <c r="H132" s="290">
        <f t="shared" ref="H132" si="113" xml:space="preserve"> H$124</f>
        <v>0</v>
      </c>
      <c r="I132" s="290">
        <f t="shared" ref="I132" si="114" xml:space="preserve"> I$124</f>
        <v>0</v>
      </c>
      <c r="J132" s="290">
        <f t="shared" ref="J132" si="115" xml:space="preserve"> J$124</f>
        <v>0</v>
      </c>
      <c r="K132" s="290">
        <f t="shared" ref="K132" si="116" xml:space="preserve"> K$124</f>
        <v>0</v>
      </c>
      <c r="L132" s="290">
        <f t="shared" ref="L132" si="117" xml:space="preserve"> L$124</f>
        <v>0</v>
      </c>
      <c r="M132" s="290">
        <f t="shared" ref="M132" si="118" xml:space="preserve"> M$124</f>
        <v>0</v>
      </c>
      <c r="N132" s="290">
        <f t="shared" ref="N132" si="119" xml:space="preserve"> N$124</f>
        <v>0</v>
      </c>
      <c r="O132" s="290">
        <f t="shared" ref="O132" si="120" xml:space="preserve"> O$124</f>
        <v>0</v>
      </c>
      <c r="P132" s="290">
        <f t="shared" ref="P132" si="121" xml:space="preserve"> P$124</f>
        <v>0</v>
      </c>
      <c r="Q132" s="290">
        <f t="shared" ref="Q132" si="122" xml:space="preserve"> Q$124</f>
        <v>0</v>
      </c>
      <c r="R132" s="290">
        <f t="shared" ref="R132" si="123" xml:space="preserve"> R$124</f>
        <v>0</v>
      </c>
      <c r="S132" s="290">
        <f t="shared" ref="S132" si="124" xml:space="preserve"> S$124</f>
        <v>0</v>
      </c>
      <c r="T132" s="290">
        <f t="shared" ref="T132" si="125" xml:space="preserve"> T$124</f>
        <v>0</v>
      </c>
      <c r="U132" s="290">
        <f t="shared" ref="U132" si="126" xml:space="preserve"> U$124</f>
        <v>0</v>
      </c>
      <c r="V132" s="290">
        <f xml:space="preserve"> V$124</f>
        <v>0</v>
      </c>
    </row>
    <row r="133" spans="1:22" outlineLevel="2">
      <c r="E133" s="163" t="str">
        <f t="shared" ref="E133:F133" si="127" xml:space="preserve"> E$125</f>
        <v>Residential retail revenue adjustment - EAC factor adjusted</v>
      </c>
      <c r="F133" s="163">
        <f t="shared" si="127"/>
        <v>0</v>
      </c>
      <c r="G133" s="163" t="str">
        <f t="shared" ref="G133" si="128" xml:space="preserve"> G$125</f>
        <v>£m</v>
      </c>
      <c r="H133" s="163">
        <f t="shared" ref="H133" si="129" xml:space="preserve"> H$125</f>
        <v>-11.891760926665301</v>
      </c>
      <c r="I133" s="163">
        <f t="shared" ref="I133" si="130" xml:space="preserve"> I$125</f>
        <v>0</v>
      </c>
      <c r="J133" s="163">
        <f t="shared" ref="J133" si="131" xml:space="preserve"> J$125</f>
        <v>0</v>
      </c>
      <c r="K133" s="163">
        <f t="shared" ref="K133" si="132" xml:space="preserve"> K$125</f>
        <v>0</v>
      </c>
      <c r="L133" s="163">
        <f t="shared" ref="L133" si="133" xml:space="preserve"> L$125</f>
        <v>0</v>
      </c>
      <c r="M133" s="163">
        <f t="shared" ref="M133" si="134" xml:space="preserve"> M$125</f>
        <v>0</v>
      </c>
      <c r="N133" s="163">
        <f t="shared" ref="N133" si="135" xml:space="preserve"> N$125</f>
        <v>0</v>
      </c>
      <c r="O133" s="163">
        <f t="shared" ref="O133" si="136" xml:space="preserve"> O$125</f>
        <v>0</v>
      </c>
      <c r="P133" s="163">
        <f t="shared" ref="P133" si="137" xml:space="preserve"> P$125</f>
        <v>0</v>
      </c>
      <c r="Q133" s="163">
        <f t="shared" ref="Q133" si="138" xml:space="preserve"> Q$125</f>
        <v>0</v>
      </c>
      <c r="R133" s="163">
        <f t="shared" ref="R133" si="139" xml:space="preserve"> R$125</f>
        <v>-2.37835218533306</v>
      </c>
      <c r="S133" s="163">
        <f t="shared" ref="S133" si="140" xml:space="preserve"> S$125</f>
        <v>-2.37835218533306</v>
      </c>
      <c r="T133" s="163">
        <f t="shared" ref="T133" si="141" xml:space="preserve"> T$125</f>
        <v>-2.37835218533306</v>
      </c>
      <c r="U133" s="163">
        <f t="shared" ref="U133" si="142" xml:space="preserve"> U$125</f>
        <v>-2.37835218533306</v>
      </c>
      <c r="V133" s="163">
        <f xml:space="preserve"> V$125</f>
        <v>-2.37835218533306</v>
      </c>
    </row>
    <row r="134" spans="1:22" s="265" customFormat="1" outlineLevel="2">
      <c r="A134" s="10"/>
      <c r="B134" s="10"/>
      <c r="C134" s="2"/>
      <c r="D134" s="3"/>
      <c r="E134" s="163" t="str">
        <f xml:space="preserve"> E$126</f>
        <v>Business retail revenue adjustment - EAC factor adjusted</v>
      </c>
      <c r="F134" s="163">
        <f t="shared" ref="F134:V134" si="143" xml:space="preserve"> F$126</f>
        <v>0</v>
      </c>
      <c r="G134" s="163" t="str">
        <f t="shared" si="143"/>
        <v>£m</v>
      </c>
      <c r="H134" s="163">
        <f t="shared" si="143"/>
        <v>0</v>
      </c>
      <c r="I134" s="163">
        <f t="shared" si="143"/>
        <v>0</v>
      </c>
      <c r="J134" s="163">
        <f t="shared" si="143"/>
        <v>0</v>
      </c>
      <c r="K134" s="163">
        <f t="shared" si="143"/>
        <v>0</v>
      </c>
      <c r="L134" s="163">
        <f t="shared" si="143"/>
        <v>0</v>
      </c>
      <c r="M134" s="163">
        <f t="shared" si="143"/>
        <v>0</v>
      </c>
      <c r="N134" s="163">
        <f t="shared" si="143"/>
        <v>0</v>
      </c>
      <c r="O134" s="163">
        <f t="shared" si="143"/>
        <v>0</v>
      </c>
      <c r="P134" s="163">
        <f t="shared" si="143"/>
        <v>0</v>
      </c>
      <c r="Q134" s="163">
        <f t="shared" si="143"/>
        <v>0</v>
      </c>
      <c r="R134" s="163">
        <f t="shared" si="143"/>
        <v>0</v>
      </c>
      <c r="S134" s="163">
        <f t="shared" si="143"/>
        <v>0</v>
      </c>
      <c r="T134" s="163">
        <f t="shared" si="143"/>
        <v>0</v>
      </c>
      <c r="U134" s="163">
        <f t="shared" si="143"/>
        <v>0</v>
      </c>
      <c r="V134" s="163">
        <f t="shared" si="143"/>
        <v>0</v>
      </c>
    </row>
    <row r="135" spans="1:22" ht="5.0999999999999996" customHeight="1" outlineLevel="2"/>
    <row r="136" spans="1:22" s="193" customFormat="1" ht="12.75" customHeight="1" outlineLevel="2">
      <c r="A136" s="210"/>
      <c r="B136" s="210"/>
      <c r="C136" s="211"/>
      <c r="E136" s="213" t="str">
        <f t="shared" ref="E136:V136" si="144" xml:space="preserve"> E$28</f>
        <v>PV discount factor - Water resources</v>
      </c>
      <c r="F136" s="213">
        <f t="shared" si="144"/>
        <v>0</v>
      </c>
      <c r="G136" s="213" t="str">
        <f t="shared" si="144"/>
        <v>factor</v>
      </c>
      <c r="H136" s="213">
        <f t="shared" si="144"/>
        <v>4.7089624450258523</v>
      </c>
      <c r="I136" s="213">
        <f t="shared" si="144"/>
        <v>0</v>
      </c>
      <c r="J136" s="213">
        <f t="shared" si="144"/>
        <v>0</v>
      </c>
      <c r="K136" s="213">
        <f t="shared" si="144"/>
        <v>0</v>
      </c>
      <c r="L136" s="213">
        <f t="shared" si="144"/>
        <v>0</v>
      </c>
      <c r="M136" s="213">
        <f t="shared" si="144"/>
        <v>0</v>
      </c>
      <c r="N136" s="213">
        <f t="shared" si="144"/>
        <v>0</v>
      </c>
      <c r="O136" s="213">
        <f t="shared" si="144"/>
        <v>0</v>
      </c>
      <c r="P136" s="213">
        <f t="shared" si="144"/>
        <v>0</v>
      </c>
      <c r="Q136" s="213">
        <f t="shared" si="144"/>
        <v>0</v>
      </c>
      <c r="R136" s="213">
        <f t="shared" si="144"/>
        <v>1</v>
      </c>
      <c r="S136" s="213">
        <f t="shared" si="144"/>
        <v>0.97002619070714913</v>
      </c>
      <c r="T136" s="213">
        <f t="shared" si="144"/>
        <v>0.94095081065782249</v>
      </c>
      <c r="U136" s="213">
        <f t="shared" si="144"/>
        <v>0.91267083257176684</v>
      </c>
      <c r="V136" s="213">
        <f t="shared" si="144"/>
        <v>0.88531461108911325</v>
      </c>
    </row>
    <row r="137" spans="1:22" s="193" customFormat="1" ht="12.75" customHeight="1" outlineLevel="2">
      <c r="A137" s="210"/>
      <c r="B137" s="210"/>
      <c r="C137" s="211"/>
      <c r="E137" s="213" t="str">
        <f t="shared" ref="E137:V137" si="145" xml:space="preserve"> E$29</f>
        <v>PV discount factor - Water network</v>
      </c>
      <c r="F137" s="213">
        <f t="shared" si="145"/>
        <v>0</v>
      </c>
      <c r="G137" s="213" t="str">
        <f t="shared" si="145"/>
        <v>factor</v>
      </c>
      <c r="H137" s="213">
        <f t="shared" si="145"/>
        <v>4.7089624450258523</v>
      </c>
      <c r="I137" s="213">
        <f t="shared" si="145"/>
        <v>0</v>
      </c>
      <c r="J137" s="213">
        <f t="shared" si="145"/>
        <v>0</v>
      </c>
      <c r="K137" s="213">
        <f t="shared" si="145"/>
        <v>0</v>
      </c>
      <c r="L137" s="213">
        <f t="shared" si="145"/>
        <v>0</v>
      </c>
      <c r="M137" s="213">
        <f t="shared" si="145"/>
        <v>0</v>
      </c>
      <c r="N137" s="213">
        <f t="shared" si="145"/>
        <v>0</v>
      </c>
      <c r="O137" s="213">
        <f t="shared" si="145"/>
        <v>0</v>
      </c>
      <c r="P137" s="213">
        <f t="shared" si="145"/>
        <v>0</v>
      </c>
      <c r="Q137" s="213">
        <f t="shared" si="145"/>
        <v>0</v>
      </c>
      <c r="R137" s="213">
        <f t="shared" si="145"/>
        <v>1</v>
      </c>
      <c r="S137" s="213">
        <f t="shared" si="145"/>
        <v>0.97002619070714913</v>
      </c>
      <c r="T137" s="213">
        <f t="shared" si="145"/>
        <v>0.94095081065782249</v>
      </c>
      <c r="U137" s="213">
        <f t="shared" si="145"/>
        <v>0.91267083257176684</v>
      </c>
      <c r="V137" s="213">
        <f t="shared" si="145"/>
        <v>0.88531461108911325</v>
      </c>
    </row>
    <row r="138" spans="1:22" s="270" customFormat="1" ht="12.75" customHeight="1" outlineLevel="2">
      <c r="A138" s="210"/>
      <c r="B138" s="210"/>
      <c r="C138" s="211"/>
      <c r="D138" s="193"/>
      <c r="E138" s="213" t="str">
        <f xml:space="preserve"> E$30</f>
        <v>PV discount factor - Bioresources</v>
      </c>
      <c r="F138" s="213">
        <f t="shared" ref="F138:V138" si="146" xml:space="preserve"> F$30</f>
        <v>0</v>
      </c>
      <c r="G138" s="213" t="str">
        <f t="shared" si="146"/>
        <v>factor</v>
      </c>
      <c r="H138" s="213">
        <f t="shared" si="146"/>
        <v>4.7089624450258523</v>
      </c>
      <c r="I138" s="213">
        <f t="shared" si="146"/>
        <v>0</v>
      </c>
      <c r="J138" s="213">
        <f t="shared" si="146"/>
        <v>0</v>
      </c>
      <c r="K138" s="213">
        <f t="shared" si="146"/>
        <v>0</v>
      </c>
      <c r="L138" s="213">
        <f t="shared" si="146"/>
        <v>0</v>
      </c>
      <c r="M138" s="213">
        <f t="shared" si="146"/>
        <v>0</v>
      </c>
      <c r="N138" s="213">
        <f t="shared" si="146"/>
        <v>0</v>
      </c>
      <c r="O138" s="213">
        <f t="shared" si="146"/>
        <v>0</v>
      </c>
      <c r="P138" s="213">
        <f t="shared" si="146"/>
        <v>0</v>
      </c>
      <c r="Q138" s="213">
        <f t="shared" si="146"/>
        <v>0</v>
      </c>
      <c r="R138" s="213">
        <f t="shared" si="146"/>
        <v>1</v>
      </c>
      <c r="S138" s="213">
        <f t="shared" si="146"/>
        <v>0.97002619070714913</v>
      </c>
      <c r="T138" s="213">
        <f t="shared" si="146"/>
        <v>0.94095081065782249</v>
      </c>
      <c r="U138" s="213">
        <f t="shared" si="146"/>
        <v>0.91267083257176684</v>
      </c>
      <c r="V138" s="213">
        <f t="shared" si="146"/>
        <v>0.88531461108911325</v>
      </c>
    </row>
    <row r="139" spans="1:22" s="193" customFormat="1" ht="12.75" customHeight="1" outlineLevel="2">
      <c r="A139" s="210"/>
      <c r="B139" s="210"/>
      <c r="C139" s="211"/>
      <c r="E139" s="213" t="str">
        <f t="shared" ref="E139:V139" si="147" xml:space="preserve"> E$31</f>
        <v>PV discount factor - Wastewater network</v>
      </c>
      <c r="F139" s="213">
        <f t="shared" si="147"/>
        <v>0</v>
      </c>
      <c r="G139" s="213" t="str">
        <f t="shared" si="147"/>
        <v>factor</v>
      </c>
      <c r="H139" s="213">
        <f t="shared" si="147"/>
        <v>4.7089624450258523</v>
      </c>
      <c r="I139" s="213">
        <f t="shared" si="147"/>
        <v>0</v>
      </c>
      <c r="J139" s="213">
        <f t="shared" si="147"/>
        <v>0</v>
      </c>
      <c r="K139" s="213">
        <f t="shared" si="147"/>
        <v>0</v>
      </c>
      <c r="L139" s="213">
        <f t="shared" si="147"/>
        <v>0</v>
      </c>
      <c r="M139" s="213">
        <f t="shared" si="147"/>
        <v>0</v>
      </c>
      <c r="N139" s="213">
        <f t="shared" si="147"/>
        <v>0</v>
      </c>
      <c r="O139" s="213">
        <f t="shared" si="147"/>
        <v>0</v>
      </c>
      <c r="P139" s="213">
        <f t="shared" si="147"/>
        <v>0</v>
      </c>
      <c r="Q139" s="213">
        <f t="shared" si="147"/>
        <v>0</v>
      </c>
      <c r="R139" s="213">
        <f t="shared" si="147"/>
        <v>1</v>
      </c>
      <c r="S139" s="213">
        <f t="shared" si="147"/>
        <v>0.97002619070714913</v>
      </c>
      <c r="T139" s="213">
        <f t="shared" si="147"/>
        <v>0.94095081065782249</v>
      </c>
      <c r="U139" s="213">
        <f t="shared" si="147"/>
        <v>0.91267083257176684</v>
      </c>
      <c r="V139" s="213">
        <f t="shared" si="147"/>
        <v>0.88531461108911325</v>
      </c>
    </row>
    <row r="140" spans="1:22" s="193" customFormat="1" ht="12.75" customHeight="1" outlineLevel="2">
      <c r="A140" s="210"/>
      <c r="B140" s="210"/>
      <c r="C140" s="211"/>
      <c r="E140" s="293" t="str">
        <f t="shared" ref="E140:V140" si="148" xml:space="preserve"> E$32</f>
        <v>PV discount factor - Dummy control</v>
      </c>
      <c r="F140" s="293">
        <f t="shared" si="148"/>
        <v>0</v>
      </c>
      <c r="G140" s="293" t="str">
        <f t="shared" si="148"/>
        <v>factor</v>
      </c>
      <c r="H140" s="293">
        <f t="shared" si="148"/>
        <v>4.7089624450258523</v>
      </c>
      <c r="I140" s="293">
        <f t="shared" si="148"/>
        <v>0</v>
      </c>
      <c r="J140" s="293">
        <f t="shared" si="148"/>
        <v>0</v>
      </c>
      <c r="K140" s="293">
        <f t="shared" si="148"/>
        <v>0</v>
      </c>
      <c r="L140" s="293">
        <f t="shared" si="148"/>
        <v>0</v>
      </c>
      <c r="M140" s="293">
        <f t="shared" si="148"/>
        <v>0</v>
      </c>
      <c r="N140" s="293">
        <f t="shared" si="148"/>
        <v>0</v>
      </c>
      <c r="O140" s="293">
        <f t="shared" si="148"/>
        <v>0</v>
      </c>
      <c r="P140" s="293">
        <f t="shared" si="148"/>
        <v>0</v>
      </c>
      <c r="Q140" s="293">
        <f t="shared" si="148"/>
        <v>0</v>
      </c>
      <c r="R140" s="293">
        <f t="shared" si="148"/>
        <v>1</v>
      </c>
      <c r="S140" s="293">
        <f t="shared" si="148"/>
        <v>0.97002619070714913</v>
      </c>
      <c r="T140" s="293">
        <f t="shared" si="148"/>
        <v>0.94095081065782249</v>
      </c>
      <c r="U140" s="293">
        <f t="shared" si="148"/>
        <v>0.91267083257176684</v>
      </c>
      <c r="V140" s="293">
        <f t="shared" si="148"/>
        <v>0.88531461108911325</v>
      </c>
    </row>
    <row r="141" spans="1:22" s="193" customFormat="1" ht="12.75" customHeight="1" outlineLevel="2">
      <c r="A141" s="210"/>
      <c r="B141" s="210"/>
      <c r="C141" s="211"/>
      <c r="E141" s="213" t="str">
        <f t="shared" ref="E141:V141" si="149" xml:space="preserve"> E$33</f>
        <v>PV discount factor - Residential retail</v>
      </c>
      <c r="F141" s="213">
        <f t="shared" si="149"/>
        <v>0</v>
      </c>
      <c r="G141" s="213" t="str">
        <f t="shared" si="149"/>
        <v>factor</v>
      </c>
      <c r="H141" s="213">
        <f t="shared" si="149"/>
        <v>4.7089624450258523</v>
      </c>
      <c r="I141" s="213">
        <f t="shared" si="149"/>
        <v>0</v>
      </c>
      <c r="J141" s="213">
        <f t="shared" si="149"/>
        <v>0</v>
      </c>
      <c r="K141" s="213">
        <f t="shared" si="149"/>
        <v>0</v>
      </c>
      <c r="L141" s="213">
        <f t="shared" si="149"/>
        <v>0</v>
      </c>
      <c r="M141" s="213">
        <f t="shared" si="149"/>
        <v>0</v>
      </c>
      <c r="N141" s="213">
        <f t="shared" si="149"/>
        <v>0</v>
      </c>
      <c r="O141" s="213">
        <f t="shared" si="149"/>
        <v>0</v>
      </c>
      <c r="P141" s="213">
        <f t="shared" si="149"/>
        <v>0</v>
      </c>
      <c r="Q141" s="213">
        <f t="shared" si="149"/>
        <v>0</v>
      </c>
      <c r="R141" s="213">
        <f t="shared" si="149"/>
        <v>1</v>
      </c>
      <c r="S141" s="213">
        <f t="shared" si="149"/>
        <v>0.97002619070714913</v>
      </c>
      <c r="T141" s="213">
        <f t="shared" si="149"/>
        <v>0.94095081065782249</v>
      </c>
      <c r="U141" s="213">
        <f t="shared" si="149"/>
        <v>0.91267083257176684</v>
      </c>
      <c r="V141" s="213">
        <f t="shared" si="149"/>
        <v>0.88531461108911325</v>
      </c>
    </row>
    <row r="142" spans="1:22" s="270" customFormat="1" ht="12.75" customHeight="1" outlineLevel="2">
      <c r="A142" s="210"/>
      <c r="B142" s="210"/>
      <c r="C142" s="211"/>
      <c r="D142" s="193"/>
      <c r="E142" s="213" t="str">
        <f xml:space="preserve"> E$34</f>
        <v>PV discount factor - Business retail</v>
      </c>
      <c r="F142" s="213">
        <f t="shared" ref="F142:V142" si="150" xml:space="preserve"> F$34</f>
        <v>0</v>
      </c>
      <c r="G142" s="213" t="str">
        <f t="shared" si="150"/>
        <v>factor</v>
      </c>
      <c r="H142" s="213">
        <f t="shared" si="150"/>
        <v>4.7089624450258523</v>
      </c>
      <c r="I142" s="213">
        <f t="shared" si="150"/>
        <v>0</v>
      </c>
      <c r="J142" s="213">
        <f t="shared" si="150"/>
        <v>0</v>
      </c>
      <c r="K142" s="213">
        <f t="shared" si="150"/>
        <v>0</v>
      </c>
      <c r="L142" s="213">
        <f t="shared" si="150"/>
        <v>0</v>
      </c>
      <c r="M142" s="213">
        <f t="shared" si="150"/>
        <v>0</v>
      </c>
      <c r="N142" s="213">
        <f t="shared" si="150"/>
        <v>0</v>
      </c>
      <c r="O142" s="213">
        <f t="shared" si="150"/>
        <v>0</v>
      </c>
      <c r="P142" s="213">
        <f t="shared" si="150"/>
        <v>0</v>
      </c>
      <c r="Q142" s="213">
        <f t="shared" si="150"/>
        <v>0</v>
      </c>
      <c r="R142" s="213">
        <f t="shared" si="150"/>
        <v>1</v>
      </c>
      <c r="S142" s="213">
        <f t="shared" si="150"/>
        <v>0.97002619070714913</v>
      </c>
      <c r="T142" s="213">
        <f t="shared" si="150"/>
        <v>0.94095081065782249</v>
      </c>
      <c r="U142" s="213">
        <f t="shared" si="150"/>
        <v>0.91267083257176684</v>
      </c>
      <c r="V142" s="213">
        <f t="shared" si="150"/>
        <v>0.88531461108911325</v>
      </c>
    </row>
    <row r="143" spans="1:22" ht="5.0999999999999996" customHeight="1" outlineLevel="2"/>
    <row r="144" spans="1:22" s="163" customFormat="1" outlineLevel="2">
      <c r="A144" s="149"/>
      <c r="B144" s="149"/>
      <c r="C144" s="150"/>
      <c r="D144" s="41"/>
      <c r="E144" s="163" t="s">
        <v>828</v>
      </c>
      <c r="G144" s="163" t="s">
        <v>174</v>
      </c>
      <c r="H144" s="163">
        <f t="shared" ref="H144:H150" si="151" xml:space="preserve"> SUM(J144:V144)</f>
        <v>1.455238908980871</v>
      </c>
      <c r="J144" s="163">
        <f t="shared" ref="J144:V144" si="152" xml:space="preserve"> J128 * J136</f>
        <v>0</v>
      </c>
      <c r="K144" s="163">
        <f t="shared" si="152"/>
        <v>0</v>
      </c>
      <c r="L144" s="163">
        <f t="shared" si="152"/>
        <v>0</v>
      </c>
      <c r="M144" s="163">
        <f t="shared" si="152"/>
        <v>0</v>
      </c>
      <c r="N144" s="163">
        <f t="shared" si="152"/>
        <v>0</v>
      </c>
      <c r="O144" s="163">
        <f t="shared" si="152"/>
        <v>0</v>
      </c>
      <c r="P144" s="163">
        <f t="shared" si="152"/>
        <v>0</v>
      </c>
      <c r="Q144" s="163">
        <f t="shared" si="152"/>
        <v>0</v>
      </c>
      <c r="R144" s="163">
        <f t="shared" si="152"/>
        <v>0.3090359980504967</v>
      </c>
      <c r="S144" s="163">
        <f t="shared" si="152"/>
        <v>0.29977301198030526</v>
      </c>
      <c r="T144" s="163">
        <f t="shared" si="152"/>
        <v>0.29078767288806412</v>
      </c>
      <c r="U144" s="163">
        <f t="shared" si="152"/>
        <v>0.28204814163539371</v>
      </c>
      <c r="V144" s="163">
        <f t="shared" si="152"/>
        <v>0.27359408442661143</v>
      </c>
    </row>
    <row r="145" spans="1:22" s="163" customFormat="1" outlineLevel="2">
      <c r="A145" s="149"/>
      <c r="B145" s="149"/>
      <c r="C145" s="150"/>
      <c r="D145" s="41"/>
      <c r="E145" s="163" t="s">
        <v>829</v>
      </c>
      <c r="G145" s="163" t="s">
        <v>174</v>
      </c>
      <c r="H145" s="163">
        <f t="shared" si="151"/>
        <v>-3.9561422547435323</v>
      </c>
      <c r="J145" s="163">
        <f t="shared" ref="J145:V145" si="153" xml:space="preserve"> J129 * J137</f>
        <v>0</v>
      </c>
      <c r="K145" s="163">
        <f t="shared" si="153"/>
        <v>0</v>
      </c>
      <c r="L145" s="163">
        <f t="shared" si="153"/>
        <v>0</v>
      </c>
      <c r="M145" s="163">
        <f t="shared" si="153"/>
        <v>0</v>
      </c>
      <c r="N145" s="163">
        <f t="shared" si="153"/>
        <v>0</v>
      </c>
      <c r="O145" s="163">
        <f t="shared" si="153"/>
        <v>0</v>
      </c>
      <c r="P145" s="163">
        <f t="shared" si="153"/>
        <v>0</v>
      </c>
      <c r="Q145" s="163">
        <f t="shared" si="153"/>
        <v>0</v>
      </c>
      <c r="R145" s="163">
        <f t="shared" si="153"/>
        <v>-0.84013034738097458</v>
      </c>
      <c r="S145" s="163">
        <f t="shared" si="153"/>
        <v>-0.81494844056744065</v>
      </c>
      <c r="T145" s="163">
        <f t="shared" si="153"/>
        <v>-0.79052133142636605</v>
      </c>
      <c r="U145" s="163">
        <f t="shared" si="153"/>
        <v>-0.76676246361300182</v>
      </c>
      <c r="V145" s="163">
        <f t="shared" si="153"/>
        <v>-0.74377967175574911</v>
      </c>
    </row>
    <row r="146" spans="1:22" s="163" customFormat="1" outlineLevel="2">
      <c r="A146" s="149"/>
      <c r="B146" s="149"/>
      <c r="C146" s="150"/>
      <c r="D146" s="41"/>
      <c r="E146" s="163" t="s">
        <v>830</v>
      </c>
      <c r="G146" s="163" t="s">
        <v>174</v>
      </c>
      <c r="H146" s="163">
        <f t="shared" si="151"/>
        <v>0</v>
      </c>
      <c r="J146" s="163">
        <f t="shared" ref="J146:V146" si="154" xml:space="preserve"> J130 * J138</f>
        <v>0</v>
      </c>
      <c r="K146" s="163">
        <f t="shared" si="154"/>
        <v>0</v>
      </c>
      <c r="L146" s="163">
        <f t="shared" si="154"/>
        <v>0</v>
      </c>
      <c r="M146" s="163">
        <f t="shared" si="154"/>
        <v>0</v>
      </c>
      <c r="N146" s="163">
        <f t="shared" si="154"/>
        <v>0</v>
      </c>
      <c r="O146" s="163">
        <f t="shared" si="154"/>
        <v>0</v>
      </c>
      <c r="P146" s="163">
        <f t="shared" si="154"/>
        <v>0</v>
      </c>
      <c r="Q146" s="163">
        <f t="shared" si="154"/>
        <v>0</v>
      </c>
      <c r="R146" s="163">
        <f t="shared" si="154"/>
        <v>0</v>
      </c>
      <c r="S146" s="163">
        <f t="shared" si="154"/>
        <v>0</v>
      </c>
      <c r="T146" s="163">
        <f t="shared" si="154"/>
        <v>0</v>
      </c>
      <c r="U146" s="163">
        <f t="shared" si="154"/>
        <v>0</v>
      </c>
      <c r="V146" s="163">
        <f t="shared" si="154"/>
        <v>0</v>
      </c>
    </row>
    <row r="147" spans="1:22" s="163" customFormat="1" outlineLevel="2">
      <c r="A147" s="149"/>
      <c r="B147" s="149"/>
      <c r="C147" s="150"/>
      <c r="D147" s="41"/>
      <c r="E147" s="163" t="s">
        <v>831</v>
      </c>
      <c r="G147" s="163" t="s">
        <v>174</v>
      </c>
      <c r="H147" s="163">
        <f t="shared" si="151"/>
        <v>0</v>
      </c>
      <c r="J147" s="163">
        <f t="shared" ref="J147:V148" si="155" xml:space="preserve"> J131 * J139</f>
        <v>0</v>
      </c>
      <c r="K147" s="163">
        <f t="shared" si="155"/>
        <v>0</v>
      </c>
      <c r="L147" s="163">
        <f t="shared" si="155"/>
        <v>0</v>
      </c>
      <c r="M147" s="163">
        <f t="shared" si="155"/>
        <v>0</v>
      </c>
      <c r="N147" s="163">
        <f t="shared" si="155"/>
        <v>0</v>
      </c>
      <c r="O147" s="163">
        <f t="shared" si="155"/>
        <v>0</v>
      </c>
      <c r="P147" s="163">
        <f t="shared" si="155"/>
        <v>0</v>
      </c>
      <c r="Q147" s="163">
        <f t="shared" si="155"/>
        <v>0</v>
      </c>
      <c r="R147" s="163">
        <f t="shared" si="155"/>
        <v>0</v>
      </c>
      <c r="S147" s="163">
        <f t="shared" si="155"/>
        <v>0</v>
      </c>
      <c r="T147" s="163">
        <f t="shared" si="155"/>
        <v>0</v>
      </c>
      <c r="U147" s="163">
        <f t="shared" si="155"/>
        <v>0</v>
      </c>
      <c r="V147" s="163">
        <f t="shared" si="155"/>
        <v>0</v>
      </c>
    </row>
    <row r="148" spans="1:22" s="163" customFormat="1" outlineLevel="2">
      <c r="A148" s="149"/>
      <c r="B148" s="149"/>
      <c r="C148" s="150"/>
      <c r="D148" s="41"/>
      <c r="E148" s="290" t="s">
        <v>832</v>
      </c>
      <c r="F148" s="290"/>
      <c r="G148" s="290" t="s">
        <v>174</v>
      </c>
      <c r="H148" s="290">
        <f t="shared" ref="H148" si="156" xml:space="preserve"> SUM(J148:V148)</f>
        <v>0</v>
      </c>
      <c r="I148" s="290"/>
      <c r="J148" s="290">
        <f t="shared" si="155"/>
        <v>0</v>
      </c>
      <c r="K148" s="290">
        <f t="shared" si="155"/>
        <v>0</v>
      </c>
      <c r="L148" s="290">
        <f t="shared" si="155"/>
        <v>0</v>
      </c>
      <c r="M148" s="290">
        <f t="shared" si="155"/>
        <v>0</v>
      </c>
      <c r="N148" s="290">
        <f t="shared" si="155"/>
        <v>0</v>
      </c>
      <c r="O148" s="290">
        <f t="shared" si="155"/>
        <v>0</v>
      </c>
      <c r="P148" s="290">
        <f t="shared" si="155"/>
        <v>0</v>
      </c>
      <c r="Q148" s="290">
        <f t="shared" si="155"/>
        <v>0</v>
      </c>
      <c r="R148" s="290">
        <f t="shared" si="155"/>
        <v>0</v>
      </c>
      <c r="S148" s="290">
        <f t="shared" si="155"/>
        <v>0</v>
      </c>
      <c r="T148" s="290">
        <f t="shared" si="155"/>
        <v>0</v>
      </c>
      <c r="U148" s="290">
        <f t="shared" si="155"/>
        <v>0</v>
      </c>
      <c r="V148" s="290">
        <f t="shared" si="155"/>
        <v>0</v>
      </c>
    </row>
    <row r="149" spans="1:22" s="163" customFormat="1" outlineLevel="2">
      <c r="A149" s="149"/>
      <c r="B149" s="149"/>
      <c r="C149" s="150"/>
      <c r="D149" s="41"/>
      <c r="E149" s="163" t="s">
        <v>833</v>
      </c>
      <c r="G149" s="163" t="s">
        <v>174</v>
      </c>
      <c r="H149" s="163">
        <f t="shared" si="151"/>
        <v>-11.199571121778545</v>
      </c>
      <c r="J149" s="163">
        <f t="shared" ref="J149:V149" si="157" xml:space="preserve"> J133 * J141</f>
        <v>0</v>
      </c>
      <c r="K149" s="163">
        <f t="shared" si="157"/>
        <v>0</v>
      </c>
      <c r="L149" s="163">
        <f t="shared" si="157"/>
        <v>0</v>
      </c>
      <c r="M149" s="163">
        <f t="shared" si="157"/>
        <v>0</v>
      </c>
      <c r="N149" s="163">
        <f t="shared" si="157"/>
        <v>0</v>
      </c>
      <c r="O149" s="163">
        <f t="shared" si="157"/>
        <v>0</v>
      </c>
      <c r="P149" s="163">
        <f t="shared" si="157"/>
        <v>0</v>
      </c>
      <c r="Q149" s="163">
        <f t="shared" si="157"/>
        <v>0</v>
      </c>
      <c r="R149" s="163">
        <f t="shared" si="157"/>
        <v>-2.37835218533306</v>
      </c>
      <c r="S149" s="163">
        <f t="shared" si="157"/>
        <v>-2.3070639104986519</v>
      </c>
      <c r="T149" s="163">
        <f t="shared" si="157"/>
        <v>-2.2379124168189466</v>
      </c>
      <c r="U149" s="163">
        <f t="shared" si="157"/>
        <v>-2.1706526691368051</v>
      </c>
      <c r="V149" s="163">
        <f t="shared" si="157"/>
        <v>-2.1055899399910807</v>
      </c>
    </row>
    <row r="150" spans="1:22" s="163" customFormat="1" outlineLevel="2">
      <c r="A150" s="149"/>
      <c r="B150" s="149"/>
      <c r="C150" s="150"/>
      <c r="D150" s="41"/>
      <c r="E150" s="163" t="s">
        <v>834</v>
      </c>
      <c r="G150" s="163" t="s">
        <v>174</v>
      </c>
      <c r="H150" s="163">
        <f t="shared" si="151"/>
        <v>0</v>
      </c>
      <c r="J150" s="163">
        <f t="shared" ref="J150:V150" si="158" xml:space="preserve"> J134 * J142</f>
        <v>0</v>
      </c>
      <c r="K150" s="163">
        <f t="shared" si="158"/>
        <v>0</v>
      </c>
      <c r="L150" s="163">
        <f t="shared" si="158"/>
        <v>0</v>
      </c>
      <c r="M150" s="163">
        <f t="shared" si="158"/>
        <v>0</v>
      </c>
      <c r="N150" s="163">
        <f t="shared" si="158"/>
        <v>0</v>
      </c>
      <c r="O150" s="163">
        <f t="shared" si="158"/>
        <v>0</v>
      </c>
      <c r="P150" s="163">
        <f t="shared" si="158"/>
        <v>0</v>
      </c>
      <c r="Q150" s="163">
        <f t="shared" si="158"/>
        <v>0</v>
      </c>
      <c r="R150" s="163">
        <f t="shared" si="158"/>
        <v>0</v>
      </c>
      <c r="S150" s="163">
        <f t="shared" si="158"/>
        <v>0</v>
      </c>
      <c r="T150" s="163">
        <f t="shared" si="158"/>
        <v>0</v>
      </c>
      <c r="U150" s="163">
        <f t="shared" si="158"/>
        <v>0</v>
      </c>
      <c r="V150" s="163">
        <f t="shared" si="158"/>
        <v>0</v>
      </c>
    </row>
    <row r="151" spans="1:22" outlineLevel="1"/>
    <row r="152" spans="1:22" outlineLevel="1">
      <c r="B152" s="10" t="s">
        <v>835</v>
      </c>
    </row>
    <row r="153" spans="1:22" outlineLevel="2">
      <c r="A153" s="352" t="str">
        <f xml:space="preserve"> Calc!A$188</f>
        <v>C048</v>
      </c>
      <c r="E153" s="171" t="str">
        <f xml:space="preserve"> Calc!E$188</f>
        <v>Water resources revenue adjustment</v>
      </c>
      <c r="F153" s="171">
        <f xml:space="preserve"> Calc!F$188</f>
        <v>1.4552389089808715</v>
      </c>
      <c r="G153" s="171" t="str">
        <f xml:space="preserve"> Calc!G$188</f>
        <v>£m</v>
      </c>
      <c r="H153" s="171"/>
      <c r="I153" s="171"/>
      <c r="J153" s="171"/>
      <c r="K153" s="171"/>
      <c r="L153" s="171"/>
      <c r="M153" s="171"/>
      <c r="N153" s="171"/>
      <c r="O153" s="171"/>
      <c r="P153" s="171"/>
      <c r="Q153" s="171"/>
      <c r="R153" s="171"/>
      <c r="S153" s="171"/>
      <c r="T153" s="171"/>
      <c r="U153" s="171"/>
      <c r="V153" s="171"/>
    </row>
    <row r="154" spans="1:22" outlineLevel="2">
      <c r="A154" s="352" t="str">
        <f xml:space="preserve"> Calc!A$198</f>
        <v>C058</v>
      </c>
      <c r="E154" s="171" t="str">
        <f xml:space="preserve"> Calc!E$198</f>
        <v>Water network plus revenue adjustment</v>
      </c>
      <c r="F154" s="171">
        <f xml:space="preserve"> Calc!F$198</f>
        <v>-3.9561422547435328</v>
      </c>
      <c r="G154" s="171" t="str">
        <f xml:space="preserve"> Calc!G$198</f>
        <v>£m</v>
      </c>
      <c r="H154" s="171"/>
      <c r="I154" s="171"/>
      <c r="J154" s="171"/>
      <c r="K154" s="171"/>
      <c r="L154" s="171"/>
      <c r="M154" s="171"/>
      <c r="N154" s="171"/>
      <c r="O154" s="171"/>
      <c r="P154" s="171"/>
      <c r="Q154" s="171"/>
      <c r="R154" s="171"/>
      <c r="S154" s="171"/>
      <c r="T154" s="171"/>
      <c r="U154" s="171"/>
      <c r="V154" s="171"/>
    </row>
    <row r="155" spans="1:22" s="265" customFormat="1" outlineLevel="2">
      <c r="A155" s="352" t="str">
        <f xml:space="preserve"> Calc!A$203</f>
        <v>C068</v>
      </c>
      <c r="B155" s="10"/>
      <c r="C155" s="2"/>
      <c r="D155" s="3"/>
      <c r="E155" s="171" t="str">
        <f xml:space="preserve"> Calc!E$203</f>
        <v>Bioresources revenue adjustment</v>
      </c>
      <c r="F155" s="171">
        <f xml:space="preserve"> Calc!F$203</f>
        <v>0</v>
      </c>
      <c r="G155" s="171" t="str">
        <f xml:space="preserve"> Calc!G$203</f>
        <v>£m</v>
      </c>
      <c r="H155" s="171"/>
      <c r="I155" s="171"/>
      <c r="J155" s="171"/>
      <c r="K155" s="171"/>
      <c r="L155" s="171"/>
      <c r="M155" s="171"/>
      <c r="N155" s="171"/>
      <c r="O155" s="171"/>
      <c r="P155" s="171"/>
      <c r="Q155" s="171"/>
      <c r="R155" s="171"/>
      <c r="S155" s="171"/>
      <c r="T155" s="171"/>
      <c r="U155" s="171"/>
      <c r="V155" s="171"/>
    </row>
    <row r="156" spans="1:22" outlineLevel="2">
      <c r="A156" s="352" t="str">
        <f xml:space="preserve"> Calc!A$211</f>
        <v>C078</v>
      </c>
      <c r="E156" s="171" t="str">
        <f xml:space="preserve"> Calc!E$211</f>
        <v>Wastewater network plus revenue adjustment</v>
      </c>
      <c r="F156" s="171">
        <f xml:space="preserve"> Calc!F$211</f>
        <v>0</v>
      </c>
      <c r="G156" s="171" t="str">
        <f xml:space="preserve"> Calc!G$211</f>
        <v>£m</v>
      </c>
      <c r="H156" s="171"/>
      <c r="I156" s="171"/>
      <c r="J156" s="171"/>
      <c r="K156" s="171"/>
      <c r="L156" s="171"/>
      <c r="M156" s="171"/>
      <c r="N156" s="171"/>
      <c r="O156" s="171"/>
      <c r="P156" s="171"/>
      <c r="Q156" s="171"/>
      <c r="R156" s="171"/>
      <c r="S156" s="171"/>
      <c r="T156" s="171"/>
      <c r="U156" s="171"/>
      <c r="V156" s="171"/>
    </row>
    <row r="157" spans="1:22" outlineLevel="2">
      <c r="A157" s="352" t="str">
        <f xml:space="preserve"> Calc!A$216</f>
        <v>C088</v>
      </c>
      <c r="E157" s="285" t="str">
        <f xml:space="preserve"> Calc!E$216</f>
        <v>Dummy control revenue adjustment</v>
      </c>
      <c r="F157" s="285">
        <f xml:space="preserve"> Calc!F$216</f>
        <v>0</v>
      </c>
      <c r="G157" s="285" t="str">
        <f xml:space="preserve"> Calc!G$216</f>
        <v>£m</v>
      </c>
      <c r="H157" s="171"/>
      <c r="I157" s="171"/>
      <c r="J157" s="171"/>
      <c r="K157" s="171"/>
      <c r="L157" s="171"/>
      <c r="M157" s="171"/>
      <c r="N157" s="171"/>
      <c r="O157" s="171"/>
      <c r="P157" s="171"/>
      <c r="Q157" s="171"/>
      <c r="R157" s="171"/>
      <c r="S157" s="171"/>
      <c r="T157" s="171"/>
      <c r="U157" s="171"/>
      <c r="V157" s="171"/>
    </row>
    <row r="158" spans="1:22" outlineLevel="2">
      <c r="A158" s="352" t="str">
        <f xml:space="preserve"> Calc!A$223</f>
        <v>C098</v>
      </c>
      <c r="E158" s="171" t="str">
        <f xml:space="preserve"> Calc!E$223</f>
        <v>Residential retail revenue adjustment</v>
      </c>
      <c r="F158" s="171">
        <f xml:space="preserve"> Calc!F$223</f>
        <v>-11.199571121778545</v>
      </c>
      <c r="G158" s="171" t="str">
        <f xml:space="preserve"> Calc!G$223</f>
        <v>£m</v>
      </c>
      <c r="H158" s="171"/>
      <c r="I158" s="171"/>
      <c r="J158" s="171"/>
      <c r="K158" s="171"/>
      <c r="L158" s="171"/>
      <c r="M158" s="171"/>
      <c r="N158" s="171"/>
      <c r="O158" s="171"/>
      <c r="P158" s="171"/>
      <c r="Q158" s="171"/>
      <c r="R158" s="171"/>
      <c r="S158" s="171"/>
      <c r="T158" s="171"/>
      <c r="U158" s="171"/>
      <c r="V158" s="171"/>
    </row>
    <row r="159" spans="1:22" s="265" customFormat="1" outlineLevel="2">
      <c r="A159" s="352" t="str">
        <f xml:space="preserve"> Calc!A$228</f>
        <v>C108</v>
      </c>
      <c r="B159" s="10"/>
      <c r="C159" s="2"/>
      <c r="D159" s="3"/>
      <c r="E159" s="171" t="str">
        <f xml:space="preserve"> Calc!E$228</f>
        <v>Business retail revenue adjustment</v>
      </c>
      <c r="F159" s="171">
        <f xml:space="preserve"> Calc!F$228</f>
        <v>0</v>
      </c>
      <c r="G159" s="171" t="str">
        <f xml:space="preserve"> Calc!G$228</f>
        <v>£m</v>
      </c>
      <c r="H159" s="171"/>
      <c r="I159" s="171"/>
      <c r="J159" s="171"/>
      <c r="K159" s="171"/>
      <c r="L159" s="171"/>
      <c r="M159" s="171"/>
      <c r="N159" s="171"/>
      <c r="O159" s="171"/>
      <c r="P159" s="171"/>
      <c r="Q159" s="171"/>
      <c r="R159" s="171"/>
      <c r="S159" s="171"/>
      <c r="T159" s="171"/>
      <c r="U159" s="171"/>
      <c r="V159" s="171"/>
    </row>
    <row r="160" spans="1:22" ht="5.0999999999999996" customHeight="1" outlineLevel="2">
      <c r="A160" s="335"/>
    </row>
    <row r="161" spans="1:22" s="202" customFormat="1" outlineLevel="2">
      <c r="A161" s="354" t="str">
        <f xml:space="preserve"> Inputs!A$136</f>
        <v>C040</v>
      </c>
      <c r="B161" s="199"/>
      <c r="C161" s="200"/>
      <c r="D161" s="201"/>
      <c r="E161" s="147" t="str">
        <f xml:space="preserve"> Inputs!E$136</f>
        <v>Discount rate - Water resources</v>
      </c>
      <c r="F161" s="147">
        <f xml:space="preserve"> Inputs!F$136</f>
        <v>3.09E-2</v>
      </c>
      <c r="G161" s="147" t="str">
        <f xml:space="preserve"> Inputs!G$136</f>
        <v>%</v>
      </c>
    </row>
    <row r="162" spans="1:22" s="202" customFormat="1" outlineLevel="2">
      <c r="A162" s="354" t="str">
        <f xml:space="preserve"> Inputs!A$137</f>
        <v>C050</v>
      </c>
      <c r="B162" s="199"/>
      <c r="C162" s="200"/>
      <c r="D162" s="201"/>
      <c r="E162" s="147" t="str">
        <f xml:space="preserve"> Inputs!E$137</f>
        <v>Discount rate - Water network plus</v>
      </c>
      <c r="F162" s="147">
        <f xml:space="preserve"> Inputs!F$137</f>
        <v>3.09E-2</v>
      </c>
      <c r="G162" s="147" t="str">
        <f xml:space="preserve"> Inputs!G$137</f>
        <v>%</v>
      </c>
      <c r="H162" s="147"/>
      <c r="I162" s="147"/>
      <c r="J162" s="147"/>
      <c r="K162" s="147"/>
      <c r="L162" s="147"/>
      <c r="M162" s="147"/>
      <c r="N162" s="147"/>
      <c r="O162" s="147"/>
      <c r="P162" s="147"/>
      <c r="Q162" s="147"/>
      <c r="R162" s="147"/>
      <c r="S162" s="147"/>
      <c r="T162" s="147"/>
      <c r="U162" s="147"/>
      <c r="V162" s="147"/>
    </row>
    <row r="163" spans="1:22" s="268" customFormat="1" outlineLevel="2">
      <c r="A163" s="354" t="str">
        <f xml:space="preserve"> Inputs!A$138</f>
        <v>C060</v>
      </c>
      <c r="B163" s="199"/>
      <c r="C163" s="200"/>
      <c r="D163" s="201"/>
      <c r="E163" s="147" t="str">
        <f xml:space="preserve"> Inputs!E$138</f>
        <v>Discount rate - Bioresources</v>
      </c>
      <c r="F163" s="147">
        <f xml:space="preserve"> Inputs!F$138</f>
        <v>3.09E-2</v>
      </c>
      <c r="G163" s="147" t="str">
        <f xml:space="preserve"> Inputs!G$138</f>
        <v>%</v>
      </c>
      <c r="H163" s="147"/>
      <c r="I163" s="147"/>
      <c r="J163" s="147"/>
      <c r="K163" s="147"/>
      <c r="L163" s="147"/>
      <c r="M163" s="147"/>
      <c r="N163" s="147"/>
      <c r="O163" s="147"/>
      <c r="P163" s="147"/>
      <c r="Q163" s="147"/>
      <c r="R163" s="147"/>
      <c r="S163" s="147"/>
      <c r="T163" s="147"/>
      <c r="U163" s="147"/>
      <c r="V163" s="147"/>
    </row>
    <row r="164" spans="1:22" s="202" customFormat="1" outlineLevel="2">
      <c r="A164" s="354" t="str">
        <f xml:space="preserve"> Inputs!A$139</f>
        <v>C070</v>
      </c>
      <c r="B164" s="199"/>
      <c r="C164" s="200"/>
      <c r="D164" s="201"/>
      <c r="E164" s="147" t="str">
        <f xml:space="preserve"> Inputs!E$139</f>
        <v>Discount rate - Wastewater network plus</v>
      </c>
      <c r="F164" s="147">
        <f xml:space="preserve"> Inputs!F$139</f>
        <v>3.09E-2</v>
      </c>
      <c r="G164" s="147" t="str">
        <f xml:space="preserve"> Inputs!G$139</f>
        <v>%</v>
      </c>
      <c r="H164" s="147"/>
      <c r="I164" s="147"/>
      <c r="J164" s="147"/>
      <c r="K164" s="147"/>
      <c r="L164" s="147"/>
      <c r="M164" s="147"/>
      <c r="N164" s="147"/>
      <c r="O164" s="147"/>
      <c r="P164" s="147"/>
      <c r="Q164" s="147"/>
      <c r="R164" s="147"/>
      <c r="S164" s="147"/>
      <c r="T164" s="147"/>
      <c r="U164" s="147"/>
      <c r="V164" s="147"/>
    </row>
    <row r="165" spans="1:22" s="202" customFormat="1" outlineLevel="2">
      <c r="A165" s="354" t="str">
        <f xml:space="preserve"> Inputs!A$140</f>
        <v>C080</v>
      </c>
      <c r="B165" s="199"/>
      <c r="C165" s="200"/>
      <c r="D165" s="201"/>
      <c r="E165" s="294" t="str">
        <f xml:space="preserve"> Inputs!E$140</f>
        <v>Discount rate - Dummy control</v>
      </c>
      <c r="F165" s="294">
        <f xml:space="preserve"> Inputs!F$140</f>
        <v>3.09E-2</v>
      </c>
      <c r="G165" s="294" t="str">
        <f xml:space="preserve"> Inputs!G$140</f>
        <v>%</v>
      </c>
      <c r="H165" s="147"/>
      <c r="I165" s="147"/>
      <c r="J165" s="147"/>
      <c r="K165" s="147"/>
      <c r="L165" s="147"/>
      <c r="M165" s="147"/>
      <c r="N165" s="147"/>
      <c r="O165" s="147"/>
      <c r="P165" s="147"/>
      <c r="Q165" s="147"/>
      <c r="R165" s="147"/>
      <c r="S165" s="147"/>
      <c r="T165" s="147"/>
      <c r="U165" s="147"/>
      <c r="V165" s="147"/>
    </row>
    <row r="166" spans="1:22" s="202" customFormat="1" outlineLevel="2">
      <c r="A166" s="354" t="str">
        <f xml:space="preserve"> Inputs!A$141</f>
        <v>C090</v>
      </c>
      <c r="B166" s="199"/>
      <c r="C166" s="200"/>
      <c r="D166" s="201"/>
      <c r="E166" s="147" t="str">
        <f xml:space="preserve"> Inputs!E$141</f>
        <v>Discount rate - Residential retail</v>
      </c>
      <c r="F166" s="147">
        <f xml:space="preserve"> Inputs!F$141</f>
        <v>3.09E-2</v>
      </c>
      <c r="G166" s="147" t="str">
        <f xml:space="preserve"> Inputs!G$141</f>
        <v>%</v>
      </c>
      <c r="H166" s="147"/>
      <c r="I166" s="147"/>
      <c r="J166" s="147"/>
      <c r="K166" s="147"/>
      <c r="L166" s="147"/>
      <c r="M166" s="147"/>
      <c r="N166" s="147"/>
      <c r="O166" s="147"/>
      <c r="P166" s="147"/>
      <c r="Q166" s="147"/>
      <c r="R166" s="147"/>
      <c r="S166" s="147"/>
      <c r="T166" s="147"/>
      <c r="U166" s="147"/>
      <c r="V166" s="147"/>
    </row>
    <row r="167" spans="1:22" s="268" customFormat="1" outlineLevel="2">
      <c r="A167" s="354" t="str">
        <f xml:space="preserve"> Inputs!A$142</f>
        <v>C100</v>
      </c>
      <c r="B167" s="199"/>
      <c r="C167" s="200"/>
      <c r="D167" s="201"/>
      <c r="E167" s="147" t="str">
        <f xml:space="preserve"> Inputs!E$142</f>
        <v>Discount rate - Business retail</v>
      </c>
      <c r="F167" s="147">
        <f xml:space="preserve"> Inputs!F$142</f>
        <v>3.09E-2</v>
      </c>
      <c r="G167" s="147" t="str">
        <f xml:space="preserve"> Inputs!G$142</f>
        <v>%</v>
      </c>
      <c r="H167" s="147"/>
      <c r="I167" s="147"/>
      <c r="J167" s="147"/>
      <c r="K167" s="147"/>
      <c r="L167" s="147"/>
      <c r="M167" s="147"/>
      <c r="N167" s="147"/>
      <c r="O167" s="147"/>
      <c r="P167" s="147"/>
      <c r="Q167" s="147"/>
      <c r="R167" s="147"/>
      <c r="S167" s="147"/>
      <c r="T167" s="147"/>
      <c r="U167" s="147"/>
      <c r="V167" s="147"/>
    </row>
    <row r="168" spans="1:22" ht="5.0999999999999996" customHeight="1" outlineLevel="2">
      <c r="A168" s="335"/>
    </row>
    <row r="169" spans="1:22" s="163" customFormat="1" outlineLevel="2">
      <c r="A169" s="352" t="str">
        <f xml:space="preserve"> Inputs!A$144</f>
        <v>C030</v>
      </c>
      <c r="B169" s="149"/>
      <c r="C169" s="150"/>
      <c r="D169" s="41"/>
      <c r="E169" s="171" t="str">
        <f xml:space="preserve"> Inputs!E$144</f>
        <v>Number of years to profile over</v>
      </c>
      <c r="F169" s="171">
        <f xml:space="preserve"> Inputs!F$144</f>
        <v>5</v>
      </c>
      <c r="G169" s="171" t="str">
        <f xml:space="preserve"> Inputs!G$144</f>
        <v>#</v>
      </c>
    </row>
    <row r="170" spans="1:22" ht="5.0999999999999996" customHeight="1" outlineLevel="2"/>
    <row r="171" spans="1:22" s="151" customFormat="1" outlineLevel="2">
      <c r="A171" s="183"/>
      <c r="B171" s="183"/>
      <c r="C171" s="184"/>
      <c r="D171" s="185"/>
      <c r="E171" s="151" t="str">
        <f t="shared" ref="E171:F171" si="159" xml:space="preserve"> E$13</f>
        <v>Years from valuation date</v>
      </c>
      <c r="F171" s="151">
        <f t="shared" si="159"/>
        <v>0</v>
      </c>
      <c r="G171" s="151" t="str">
        <f t="shared" ref="G171:V171" si="160" xml:space="preserve"> G$13</f>
        <v>years</v>
      </c>
      <c r="H171" s="151">
        <f t="shared" si="160"/>
        <v>0</v>
      </c>
      <c r="I171" s="151">
        <f t="shared" si="160"/>
        <v>0</v>
      </c>
      <c r="J171" s="151">
        <f t="shared" si="160"/>
        <v>0</v>
      </c>
      <c r="K171" s="151">
        <f t="shared" si="160"/>
        <v>0</v>
      </c>
      <c r="L171" s="151">
        <f t="shared" si="160"/>
        <v>0</v>
      </c>
      <c r="M171" s="151">
        <f t="shared" si="160"/>
        <v>0</v>
      </c>
      <c r="N171" s="151">
        <f t="shared" si="160"/>
        <v>0</v>
      </c>
      <c r="O171" s="151">
        <f t="shared" si="160"/>
        <v>0</v>
      </c>
      <c r="P171" s="151">
        <f t="shared" si="160"/>
        <v>0</v>
      </c>
      <c r="Q171" s="151">
        <f t="shared" si="160"/>
        <v>0</v>
      </c>
      <c r="R171" s="151">
        <f t="shared" si="160"/>
        <v>0</v>
      </c>
      <c r="S171" s="151">
        <f t="shared" si="160"/>
        <v>1</v>
      </c>
      <c r="T171" s="151">
        <f t="shared" si="160"/>
        <v>2</v>
      </c>
      <c r="U171" s="151">
        <f t="shared" si="160"/>
        <v>3.0027397260273974</v>
      </c>
      <c r="V171" s="151">
        <f t="shared" si="160"/>
        <v>4.0027397260273974</v>
      </c>
    </row>
    <row r="172" spans="1:22" ht="12.75" customHeight="1" outlineLevel="2">
      <c r="D172" s="17"/>
      <c r="E172" s="12" t="str">
        <f xml:space="preserve"> Time!E$49</f>
        <v>Forecast period flag</v>
      </c>
      <c r="F172" s="12">
        <f xml:space="preserve"> Time!F$49</f>
        <v>0</v>
      </c>
      <c r="G172" s="12" t="str">
        <f xml:space="preserve"> Time!G$49</f>
        <v>flag</v>
      </c>
      <c r="H172" s="12">
        <f xml:space="preserve"> Time!H$49</f>
        <v>5</v>
      </c>
      <c r="I172" s="12">
        <f xml:space="preserve"> Time!I$49</f>
        <v>0</v>
      </c>
      <c r="J172" s="12">
        <f xml:space="preserve"> Time!J$49</f>
        <v>0</v>
      </c>
      <c r="K172" s="12">
        <f xml:space="preserve"> Time!K$49</f>
        <v>0</v>
      </c>
      <c r="L172" s="12">
        <f xml:space="preserve"> Time!L$49</f>
        <v>0</v>
      </c>
      <c r="M172" s="12">
        <f xml:space="preserve"> Time!M$49</f>
        <v>0</v>
      </c>
      <c r="N172" s="12">
        <f xml:space="preserve"> Time!N$49</f>
        <v>0</v>
      </c>
      <c r="O172" s="12">
        <f xml:space="preserve"> Time!O$49</f>
        <v>0</v>
      </c>
      <c r="P172" s="12">
        <f xml:space="preserve"> Time!P$49</f>
        <v>0</v>
      </c>
      <c r="Q172" s="12">
        <f xml:space="preserve"> Time!Q$49</f>
        <v>0</v>
      </c>
      <c r="R172" s="12">
        <f xml:space="preserve"> Time!R$49</f>
        <v>1</v>
      </c>
      <c r="S172" s="12">
        <f xml:space="preserve"> Time!S$49</f>
        <v>1</v>
      </c>
      <c r="T172" s="12">
        <f xml:space="preserve"> Time!T$49</f>
        <v>1</v>
      </c>
      <c r="U172" s="12">
        <f xml:space="preserve"> Time!U$49</f>
        <v>1</v>
      </c>
      <c r="V172" s="12">
        <f xml:space="preserve"> Time!V$49</f>
        <v>1</v>
      </c>
    </row>
    <row r="173" spans="1:22" ht="5.0999999999999996" customHeight="1" outlineLevel="2"/>
    <row r="174" spans="1:22" s="163" customFormat="1" outlineLevel="2">
      <c r="A174" s="149"/>
      <c r="B174" s="149"/>
      <c r="C174" s="150"/>
      <c r="D174" s="41"/>
      <c r="E174" s="163" t="s">
        <v>836</v>
      </c>
      <c r="G174" s="163" t="s">
        <v>174</v>
      </c>
      <c r="H174" s="163">
        <f t="shared" ref="H174:H180" si="161" xml:space="preserve"> SUM(J174:V174)</f>
        <v>1.5480488229920566</v>
      </c>
      <c r="J174" s="163">
        <f t="shared" ref="J174:J180" si="162" xml:space="preserve"> IF(J$171 + 1 &lt;= $F$169 + 0.005, $F153 / $F$169, 0) * J$172 * (1 + $F161) ^ J$171</f>
        <v>0</v>
      </c>
      <c r="K174" s="163">
        <f t="shared" ref="K174:V174" si="163" xml:space="preserve"> IF(K$171 + 1 &lt;= $F$169 + 0.005, $F153 / $F$169, 0) * K$172 * (1 + $F161) ^ K$171</f>
        <v>0</v>
      </c>
      <c r="L174" s="163">
        <f t="shared" si="163"/>
        <v>0</v>
      </c>
      <c r="M174" s="163">
        <f t="shared" si="163"/>
        <v>0</v>
      </c>
      <c r="N174" s="163">
        <f t="shared" si="163"/>
        <v>0</v>
      </c>
      <c r="O174" s="163">
        <f t="shared" si="163"/>
        <v>0</v>
      </c>
      <c r="P174" s="163">
        <f t="shared" si="163"/>
        <v>0</v>
      </c>
      <c r="Q174" s="163">
        <f t="shared" si="163"/>
        <v>0</v>
      </c>
      <c r="R174" s="163">
        <f t="shared" si="163"/>
        <v>0.2910477817961743</v>
      </c>
      <c r="S174" s="163">
        <f t="shared" si="163"/>
        <v>0.30004115825367605</v>
      </c>
      <c r="T174" s="163">
        <f t="shared" si="163"/>
        <v>0.30931243004371467</v>
      </c>
      <c r="U174" s="163">
        <f t="shared" si="163"/>
        <v>0.31889677133216382</v>
      </c>
      <c r="V174" s="163">
        <f t="shared" si="163"/>
        <v>0.3287506815663277</v>
      </c>
    </row>
    <row r="175" spans="1:22" s="163" customFormat="1" outlineLevel="2">
      <c r="A175" s="149"/>
      <c r="B175" s="149"/>
      <c r="C175" s="150"/>
      <c r="D175" s="41"/>
      <c r="E175" s="163" t="s">
        <v>837</v>
      </c>
      <c r="G175" s="163" t="s">
        <v>174</v>
      </c>
      <c r="H175" s="163">
        <f t="shared" si="161"/>
        <v>-4.2084508071144269</v>
      </c>
      <c r="J175" s="163">
        <f t="shared" si="162"/>
        <v>0</v>
      </c>
      <c r="K175" s="163">
        <f t="shared" ref="K175:V175" si="164" xml:space="preserve"> IF(K$171 + 1 &lt;= $F$169 + 0.005, $F154 / $F$169, 0) * K$172 * (1 + $F162) ^ K$171</f>
        <v>0</v>
      </c>
      <c r="L175" s="163">
        <f t="shared" si="164"/>
        <v>0</v>
      </c>
      <c r="M175" s="163">
        <f t="shared" si="164"/>
        <v>0</v>
      </c>
      <c r="N175" s="163">
        <f t="shared" si="164"/>
        <v>0</v>
      </c>
      <c r="O175" s="163">
        <f t="shared" si="164"/>
        <v>0</v>
      </c>
      <c r="P175" s="163">
        <f t="shared" si="164"/>
        <v>0</v>
      </c>
      <c r="Q175" s="163">
        <f t="shared" si="164"/>
        <v>0</v>
      </c>
      <c r="R175" s="163">
        <f t="shared" si="164"/>
        <v>-0.79122845094870653</v>
      </c>
      <c r="S175" s="163">
        <f t="shared" si="164"/>
        <v>-0.81567741008302153</v>
      </c>
      <c r="T175" s="163">
        <f t="shared" si="164"/>
        <v>-0.84088184205458683</v>
      </c>
      <c r="U175" s="163">
        <f t="shared" si="164"/>
        <v>-0.86693736965291823</v>
      </c>
      <c r="V175" s="163">
        <f t="shared" si="164"/>
        <v>-0.89372573437519354</v>
      </c>
    </row>
    <row r="176" spans="1:22" s="163" customFormat="1" outlineLevel="2">
      <c r="A176" s="149"/>
      <c r="B176" s="149"/>
      <c r="C176" s="150"/>
      <c r="D176" s="41"/>
      <c r="E176" s="163" t="s">
        <v>838</v>
      </c>
      <c r="G176" s="163" t="s">
        <v>174</v>
      </c>
      <c r="H176" s="163">
        <f t="shared" si="161"/>
        <v>0</v>
      </c>
      <c r="J176" s="163">
        <f t="shared" si="162"/>
        <v>0</v>
      </c>
      <c r="K176" s="163">
        <f t="shared" ref="K176:V176" si="165" xml:space="preserve"> IF(K$171 + 1 &lt;= $F$169 + 0.005, $F155 / $F$169, 0) * K$172 * (1 + $F163) ^ K$171</f>
        <v>0</v>
      </c>
      <c r="L176" s="163">
        <f t="shared" si="165"/>
        <v>0</v>
      </c>
      <c r="M176" s="163">
        <f t="shared" si="165"/>
        <v>0</v>
      </c>
      <c r="N176" s="163">
        <f t="shared" si="165"/>
        <v>0</v>
      </c>
      <c r="O176" s="163">
        <f t="shared" si="165"/>
        <v>0</v>
      </c>
      <c r="P176" s="163">
        <f t="shared" si="165"/>
        <v>0</v>
      </c>
      <c r="Q176" s="163">
        <f t="shared" si="165"/>
        <v>0</v>
      </c>
      <c r="R176" s="163">
        <f t="shared" si="165"/>
        <v>0</v>
      </c>
      <c r="S176" s="163">
        <f t="shared" si="165"/>
        <v>0</v>
      </c>
      <c r="T176" s="163">
        <f t="shared" si="165"/>
        <v>0</v>
      </c>
      <c r="U176" s="163">
        <f t="shared" si="165"/>
        <v>0</v>
      </c>
      <c r="V176" s="163">
        <f t="shared" si="165"/>
        <v>0</v>
      </c>
    </row>
    <row r="177" spans="1:22" s="163" customFormat="1" outlineLevel="2">
      <c r="A177" s="149"/>
      <c r="B177" s="149"/>
      <c r="C177" s="150"/>
      <c r="D177" s="41"/>
      <c r="E177" s="163" t="s">
        <v>839</v>
      </c>
      <c r="G177" s="163" t="s">
        <v>174</v>
      </c>
      <c r="H177" s="163">
        <f t="shared" si="161"/>
        <v>0</v>
      </c>
      <c r="J177" s="163">
        <f t="shared" si="162"/>
        <v>0</v>
      </c>
      <c r="K177" s="163">
        <f t="shared" ref="K177:V177" si="166" xml:space="preserve"> IF(K$171 + 1 &lt;= $F$169 + 0.005, $F156 / $F$169, 0) * K$172 * (1 + $F164) ^ K$171</f>
        <v>0</v>
      </c>
      <c r="L177" s="163">
        <f t="shared" si="166"/>
        <v>0</v>
      </c>
      <c r="M177" s="163">
        <f t="shared" si="166"/>
        <v>0</v>
      </c>
      <c r="N177" s="163">
        <f t="shared" si="166"/>
        <v>0</v>
      </c>
      <c r="O177" s="163">
        <f t="shared" si="166"/>
        <v>0</v>
      </c>
      <c r="P177" s="163">
        <f t="shared" si="166"/>
        <v>0</v>
      </c>
      <c r="Q177" s="163">
        <f t="shared" si="166"/>
        <v>0</v>
      </c>
      <c r="R177" s="163">
        <f t="shared" si="166"/>
        <v>0</v>
      </c>
      <c r="S177" s="163">
        <f t="shared" si="166"/>
        <v>0</v>
      </c>
      <c r="T177" s="163">
        <f t="shared" si="166"/>
        <v>0</v>
      </c>
      <c r="U177" s="163">
        <f t="shared" si="166"/>
        <v>0</v>
      </c>
      <c r="V177" s="163">
        <f t="shared" si="166"/>
        <v>0</v>
      </c>
    </row>
    <row r="178" spans="1:22" s="163" customFormat="1" outlineLevel="2">
      <c r="A178" s="149"/>
      <c r="B178" s="149"/>
      <c r="C178" s="150"/>
      <c r="D178" s="41"/>
      <c r="E178" s="290" t="s">
        <v>840</v>
      </c>
      <c r="F178" s="290"/>
      <c r="G178" s="290" t="s">
        <v>174</v>
      </c>
      <c r="H178" s="290">
        <f t="shared" ref="H178" si="167" xml:space="preserve"> SUM(J178:V178)</f>
        <v>0</v>
      </c>
      <c r="I178" s="290"/>
      <c r="J178" s="290">
        <f t="shared" si="162"/>
        <v>0</v>
      </c>
      <c r="K178" s="290">
        <f t="shared" ref="K178:V178" si="168" xml:space="preserve"> IF(K$171 + 1 &lt;= $F$169 + 0.005, $F157 / $F$169, 0) * K$172 * (1 + $F165) ^ K$171</f>
        <v>0</v>
      </c>
      <c r="L178" s="290">
        <f t="shared" si="168"/>
        <v>0</v>
      </c>
      <c r="M178" s="290">
        <f t="shared" si="168"/>
        <v>0</v>
      </c>
      <c r="N178" s="290">
        <f t="shared" si="168"/>
        <v>0</v>
      </c>
      <c r="O178" s="290">
        <f t="shared" si="168"/>
        <v>0</v>
      </c>
      <c r="P178" s="290">
        <f t="shared" si="168"/>
        <v>0</v>
      </c>
      <c r="Q178" s="290">
        <f t="shared" si="168"/>
        <v>0</v>
      </c>
      <c r="R178" s="290">
        <f t="shared" si="168"/>
        <v>0</v>
      </c>
      <c r="S178" s="290">
        <f t="shared" si="168"/>
        <v>0</v>
      </c>
      <c r="T178" s="290">
        <f t="shared" si="168"/>
        <v>0</v>
      </c>
      <c r="U178" s="290">
        <f t="shared" si="168"/>
        <v>0</v>
      </c>
      <c r="V178" s="290">
        <f t="shared" si="168"/>
        <v>0</v>
      </c>
    </row>
    <row r="179" spans="1:22" s="163" customFormat="1" outlineLevel="2">
      <c r="A179" s="149"/>
      <c r="B179" s="149"/>
      <c r="C179" s="150"/>
      <c r="D179" s="41"/>
      <c r="E179" s="163" t="s">
        <v>841</v>
      </c>
      <c r="G179" s="163" t="s">
        <v>174</v>
      </c>
      <c r="H179" s="163">
        <f t="shared" si="161"/>
        <v>-11.913839566883787</v>
      </c>
      <c r="J179" s="163">
        <f t="shared" si="162"/>
        <v>0</v>
      </c>
      <c r="K179" s="163">
        <f t="shared" ref="K179:V179" si="169" xml:space="preserve"> IF(K$171 + 1 &lt;= $F$169 + 0.005, $F158 / $F$169, 0) * K$172 * (1 + $F166) ^ K$171</f>
        <v>0</v>
      </c>
      <c r="L179" s="163">
        <f t="shared" si="169"/>
        <v>0</v>
      </c>
      <c r="M179" s="163">
        <f t="shared" si="169"/>
        <v>0</v>
      </c>
      <c r="N179" s="163">
        <f t="shared" si="169"/>
        <v>0</v>
      </c>
      <c r="O179" s="163">
        <f t="shared" si="169"/>
        <v>0</v>
      </c>
      <c r="P179" s="163">
        <f t="shared" si="169"/>
        <v>0</v>
      </c>
      <c r="Q179" s="163">
        <f t="shared" si="169"/>
        <v>0</v>
      </c>
      <c r="R179" s="163">
        <f t="shared" si="169"/>
        <v>-2.2399142243557089</v>
      </c>
      <c r="S179" s="163">
        <f t="shared" si="169"/>
        <v>-2.3091275738883001</v>
      </c>
      <c r="T179" s="163">
        <f t="shared" si="169"/>
        <v>-2.3804796159214487</v>
      </c>
      <c r="U179" s="163">
        <f t="shared" si="169"/>
        <v>-2.4542410521041558</v>
      </c>
      <c r="V179" s="163">
        <f t="shared" si="169"/>
        <v>-2.5300771006141742</v>
      </c>
    </row>
    <row r="180" spans="1:22" s="163" customFormat="1" outlineLevel="2">
      <c r="A180" s="149"/>
      <c r="B180" s="149"/>
      <c r="C180" s="150"/>
      <c r="D180" s="41"/>
      <c r="E180" s="163" t="s">
        <v>842</v>
      </c>
      <c r="G180" s="163" t="s">
        <v>174</v>
      </c>
      <c r="H180" s="163">
        <f t="shared" si="161"/>
        <v>0</v>
      </c>
      <c r="J180" s="163">
        <f t="shared" si="162"/>
        <v>0</v>
      </c>
      <c r="K180" s="163">
        <f t="shared" ref="K180:V180" si="170" xml:space="preserve"> IF(K$171 + 1 &lt;= $F$169 + 0.005, $F159 / $F$169, 0) * K$172 * (1 + $F167) ^ K$171</f>
        <v>0</v>
      </c>
      <c r="L180" s="163">
        <f t="shared" si="170"/>
        <v>0</v>
      </c>
      <c r="M180" s="163">
        <f t="shared" si="170"/>
        <v>0</v>
      </c>
      <c r="N180" s="163">
        <f t="shared" si="170"/>
        <v>0</v>
      </c>
      <c r="O180" s="163">
        <f t="shared" si="170"/>
        <v>0</v>
      </c>
      <c r="P180" s="163">
        <f t="shared" si="170"/>
        <v>0</v>
      </c>
      <c r="Q180" s="163">
        <f t="shared" si="170"/>
        <v>0</v>
      </c>
      <c r="R180" s="163">
        <f t="shared" si="170"/>
        <v>0</v>
      </c>
      <c r="S180" s="163">
        <f t="shared" si="170"/>
        <v>0</v>
      </c>
      <c r="T180" s="163">
        <f t="shared" si="170"/>
        <v>0</v>
      </c>
      <c r="U180" s="163">
        <f t="shared" si="170"/>
        <v>0</v>
      </c>
      <c r="V180" s="163">
        <f t="shared" si="170"/>
        <v>0</v>
      </c>
    </row>
    <row r="181" spans="1:22" outlineLevel="2"/>
    <row r="182" spans="1:22" s="163" customFormat="1" outlineLevel="2">
      <c r="A182" s="149"/>
      <c r="B182" s="149"/>
      <c r="C182" s="150"/>
      <c r="D182" s="41"/>
      <c r="E182" s="163" t="str">
        <f t="shared" ref="E182:F182" si="171" xml:space="preserve"> E$174</f>
        <v>Water resources revenue adjustment - NPV adjusted</v>
      </c>
      <c r="F182" s="163">
        <f t="shared" si="171"/>
        <v>0</v>
      </c>
      <c r="G182" s="163" t="str">
        <f t="shared" ref="G182:V182" si="172" xml:space="preserve"> G$174</f>
        <v>£m</v>
      </c>
      <c r="H182" s="163">
        <f t="shared" si="172"/>
        <v>1.5480488229920566</v>
      </c>
      <c r="I182" s="163">
        <f t="shared" si="172"/>
        <v>0</v>
      </c>
      <c r="J182" s="163">
        <f t="shared" si="172"/>
        <v>0</v>
      </c>
      <c r="K182" s="163">
        <f t="shared" si="172"/>
        <v>0</v>
      </c>
      <c r="L182" s="163">
        <f t="shared" si="172"/>
        <v>0</v>
      </c>
      <c r="M182" s="163">
        <f t="shared" si="172"/>
        <v>0</v>
      </c>
      <c r="N182" s="163">
        <f t="shared" si="172"/>
        <v>0</v>
      </c>
      <c r="O182" s="163">
        <f t="shared" si="172"/>
        <v>0</v>
      </c>
      <c r="P182" s="163">
        <f t="shared" si="172"/>
        <v>0</v>
      </c>
      <c r="Q182" s="163">
        <f t="shared" si="172"/>
        <v>0</v>
      </c>
      <c r="R182" s="163">
        <f t="shared" si="172"/>
        <v>0.2910477817961743</v>
      </c>
      <c r="S182" s="163">
        <f t="shared" si="172"/>
        <v>0.30004115825367605</v>
      </c>
      <c r="T182" s="163">
        <f t="shared" si="172"/>
        <v>0.30931243004371467</v>
      </c>
      <c r="U182" s="163">
        <f t="shared" si="172"/>
        <v>0.31889677133216382</v>
      </c>
      <c r="V182" s="163">
        <f t="shared" si="172"/>
        <v>0.3287506815663277</v>
      </c>
    </row>
    <row r="183" spans="1:22" s="163" customFormat="1" outlineLevel="2">
      <c r="A183" s="149"/>
      <c r="B183" s="149"/>
      <c r="C183" s="150"/>
      <c r="D183" s="41"/>
      <c r="E183" s="163" t="str">
        <f t="shared" ref="E183:F183" si="173" xml:space="preserve"> E$175</f>
        <v>Water network revenue adjustment - NPV adjusted</v>
      </c>
      <c r="F183" s="163">
        <f t="shared" si="173"/>
        <v>0</v>
      </c>
      <c r="G183" s="163" t="str">
        <f t="shared" ref="G183:V183" si="174" xml:space="preserve"> G$175</f>
        <v>£m</v>
      </c>
      <c r="H183" s="163">
        <f t="shared" si="174"/>
        <v>-4.2084508071144269</v>
      </c>
      <c r="I183" s="163">
        <f t="shared" si="174"/>
        <v>0</v>
      </c>
      <c r="J183" s="163">
        <f t="shared" si="174"/>
        <v>0</v>
      </c>
      <c r="K183" s="163">
        <f t="shared" si="174"/>
        <v>0</v>
      </c>
      <c r="L183" s="163">
        <f t="shared" si="174"/>
        <v>0</v>
      </c>
      <c r="M183" s="163">
        <f t="shared" si="174"/>
        <v>0</v>
      </c>
      <c r="N183" s="163">
        <f t="shared" si="174"/>
        <v>0</v>
      </c>
      <c r="O183" s="163">
        <f t="shared" si="174"/>
        <v>0</v>
      </c>
      <c r="P183" s="163">
        <f t="shared" si="174"/>
        <v>0</v>
      </c>
      <c r="Q183" s="163">
        <f t="shared" si="174"/>
        <v>0</v>
      </c>
      <c r="R183" s="163">
        <f t="shared" si="174"/>
        <v>-0.79122845094870653</v>
      </c>
      <c r="S183" s="163">
        <f t="shared" si="174"/>
        <v>-0.81567741008302153</v>
      </c>
      <c r="T183" s="163">
        <f t="shared" si="174"/>
        <v>-0.84088184205458683</v>
      </c>
      <c r="U183" s="163">
        <f t="shared" si="174"/>
        <v>-0.86693736965291823</v>
      </c>
      <c r="V183" s="163">
        <f t="shared" si="174"/>
        <v>-0.89372573437519354</v>
      </c>
    </row>
    <row r="184" spans="1:22" s="269" customFormat="1" outlineLevel="2">
      <c r="A184" s="149"/>
      <c r="B184" s="149"/>
      <c r="C184" s="150"/>
      <c r="D184" s="41"/>
      <c r="E184" s="163" t="str">
        <f xml:space="preserve"> E$176</f>
        <v>Bioresources revenue adjustment - NPV adjusted</v>
      </c>
      <c r="F184" s="163">
        <f t="shared" ref="F184:V184" si="175" xml:space="preserve"> F$176</f>
        <v>0</v>
      </c>
      <c r="G184" s="163" t="str">
        <f t="shared" si="175"/>
        <v>£m</v>
      </c>
      <c r="H184" s="163">
        <f t="shared" si="175"/>
        <v>0</v>
      </c>
      <c r="I184" s="163">
        <f t="shared" si="175"/>
        <v>0</v>
      </c>
      <c r="J184" s="163">
        <f t="shared" si="175"/>
        <v>0</v>
      </c>
      <c r="K184" s="163">
        <f t="shared" si="175"/>
        <v>0</v>
      </c>
      <c r="L184" s="163">
        <f t="shared" si="175"/>
        <v>0</v>
      </c>
      <c r="M184" s="163">
        <f t="shared" si="175"/>
        <v>0</v>
      </c>
      <c r="N184" s="163">
        <f t="shared" si="175"/>
        <v>0</v>
      </c>
      <c r="O184" s="163">
        <f t="shared" si="175"/>
        <v>0</v>
      </c>
      <c r="P184" s="163">
        <f t="shared" si="175"/>
        <v>0</v>
      </c>
      <c r="Q184" s="163">
        <f t="shared" si="175"/>
        <v>0</v>
      </c>
      <c r="R184" s="163">
        <f t="shared" si="175"/>
        <v>0</v>
      </c>
      <c r="S184" s="163">
        <f t="shared" si="175"/>
        <v>0</v>
      </c>
      <c r="T184" s="163">
        <f t="shared" si="175"/>
        <v>0</v>
      </c>
      <c r="U184" s="163">
        <f t="shared" si="175"/>
        <v>0</v>
      </c>
      <c r="V184" s="163">
        <f t="shared" si="175"/>
        <v>0</v>
      </c>
    </row>
    <row r="185" spans="1:22" s="163" customFormat="1" outlineLevel="2">
      <c r="A185" s="149"/>
      <c r="B185" s="149"/>
      <c r="C185" s="150"/>
      <c r="D185" s="41"/>
      <c r="E185" s="163" t="str">
        <f xml:space="preserve"> E$177</f>
        <v>Wastewater network revenue adjustment - NPV adjusted</v>
      </c>
      <c r="F185" s="163">
        <f xml:space="preserve"> F$177</f>
        <v>0</v>
      </c>
      <c r="G185" s="163" t="str">
        <f t="shared" ref="G185:V185" si="176" xml:space="preserve"> G$177</f>
        <v>£m</v>
      </c>
      <c r="H185" s="163">
        <f t="shared" si="176"/>
        <v>0</v>
      </c>
      <c r="I185" s="163">
        <f t="shared" si="176"/>
        <v>0</v>
      </c>
      <c r="J185" s="163">
        <f t="shared" si="176"/>
        <v>0</v>
      </c>
      <c r="K185" s="163">
        <f t="shared" si="176"/>
        <v>0</v>
      </c>
      <c r="L185" s="163">
        <f t="shared" si="176"/>
        <v>0</v>
      </c>
      <c r="M185" s="163">
        <f t="shared" si="176"/>
        <v>0</v>
      </c>
      <c r="N185" s="163">
        <f t="shared" si="176"/>
        <v>0</v>
      </c>
      <c r="O185" s="163">
        <f t="shared" si="176"/>
        <v>0</v>
      </c>
      <c r="P185" s="163">
        <f t="shared" si="176"/>
        <v>0</v>
      </c>
      <c r="Q185" s="163">
        <f t="shared" si="176"/>
        <v>0</v>
      </c>
      <c r="R185" s="163">
        <f t="shared" si="176"/>
        <v>0</v>
      </c>
      <c r="S185" s="163">
        <f t="shared" si="176"/>
        <v>0</v>
      </c>
      <c r="T185" s="163">
        <f t="shared" si="176"/>
        <v>0</v>
      </c>
      <c r="U185" s="163">
        <f t="shared" si="176"/>
        <v>0</v>
      </c>
      <c r="V185" s="163">
        <f t="shared" si="176"/>
        <v>0</v>
      </c>
    </row>
    <row r="186" spans="1:22" s="163" customFormat="1" outlineLevel="2">
      <c r="A186" s="149"/>
      <c r="B186" s="149"/>
      <c r="C186" s="150"/>
      <c r="D186" s="41"/>
      <c r="E186" s="290" t="str">
        <f t="shared" ref="E186:V186" si="177" xml:space="preserve"> E$178</f>
        <v>Dummy control revenue adjustment - NPV adjusted</v>
      </c>
      <c r="F186" s="290">
        <f t="shared" si="177"/>
        <v>0</v>
      </c>
      <c r="G186" s="290" t="str">
        <f t="shared" si="177"/>
        <v>£m</v>
      </c>
      <c r="H186" s="290">
        <f t="shared" si="177"/>
        <v>0</v>
      </c>
      <c r="I186" s="290">
        <f t="shared" si="177"/>
        <v>0</v>
      </c>
      <c r="J186" s="290">
        <f t="shared" si="177"/>
        <v>0</v>
      </c>
      <c r="K186" s="290">
        <f t="shared" si="177"/>
        <v>0</v>
      </c>
      <c r="L186" s="290">
        <f t="shared" si="177"/>
        <v>0</v>
      </c>
      <c r="M186" s="290">
        <f t="shared" si="177"/>
        <v>0</v>
      </c>
      <c r="N186" s="290">
        <f t="shared" si="177"/>
        <v>0</v>
      </c>
      <c r="O186" s="290">
        <f t="shared" si="177"/>
        <v>0</v>
      </c>
      <c r="P186" s="290">
        <f t="shared" si="177"/>
        <v>0</v>
      </c>
      <c r="Q186" s="290">
        <f t="shared" si="177"/>
        <v>0</v>
      </c>
      <c r="R186" s="290">
        <f t="shared" si="177"/>
        <v>0</v>
      </c>
      <c r="S186" s="290">
        <f t="shared" si="177"/>
        <v>0</v>
      </c>
      <c r="T186" s="290">
        <f t="shared" si="177"/>
        <v>0</v>
      </c>
      <c r="U186" s="290">
        <f t="shared" si="177"/>
        <v>0</v>
      </c>
      <c r="V186" s="290">
        <f t="shared" si="177"/>
        <v>0</v>
      </c>
    </row>
    <row r="187" spans="1:22" s="163" customFormat="1" outlineLevel="2">
      <c r="A187" s="149"/>
      <c r="B187" s="149"/>
      <c r="C187" s="150"/>
      <c r="D187" s="41"/>
      <c r="E187" s="163" t="str">
        <f t="shared" ref="E187:F187" si="178" xml:space="preserve"> E$179</f>
        <v>Residential retail revenue adjustment - NPV adjusted</v>
      </c>
      <c r="F187" s="163">
        <f t="shared" si="178"/>
        <v>0</v>
      </c>
      <c r="G187" s="163" t="str">
        <f t="shared" ref="G187:V187" si="179" xml:space="preserve"> G$179</f>
        <v>£m</v>
      </c>
      <c r="H187" s="163">
        <f t="shared" si="179"/>
        <v>-11.913839566883787</v>
      </c>
      <c r="I187" s="163">
        <f t="shared" si="179"/>
        <v>0</v>
      </c>
      <c r="J187" s="163">
        <f t="shared" si="179"/>
        <v>0</v>
      </c>
      <c r="K187" s="163">
        <f t="shared" si="179"/>
        <v>0</v>
      </c>
      <c r="L187" s="163">
        <f t="shared" si="179"/>
        <v>0</v>
      </c>
      <c r="M187" s="163">
        <f t="shared" si="179"/>
        <v>0</v>
      </c>
      <c r="N187" s="163">
        <f t="shared" si="179"/>
        <v>0</v>
      </c>
      <c r="O187" s="163">
        <f t="shared" si="179"/>
        <v>0</v>
      </c>
      <c r="P187" s="163">
        <f t="shared" si="179"/>
        <v>0</v>
      </c>
      <c r="Q187" s="163">
        <f t="shared" si="179"/>
        <v>0</v>
      </c>
      <c r="R187" s="163">
        <f t="shared" si="179"/>
        <v>-2.2399142243557089</v>
      </c>
      <c r="S187" s="163">
        <f t="shared" si="179"/>
        <v>-2.3091275738883001</v>
      </c>
      <c r="T187" s="163">
        <f t="shared" si="179"/>
        <v>-2.3804796159214487</v>
      </c>
      <c r="U187" s="163">
        <f t="shared" si="179"/>
        <v>-2.4542410521041558</v>
      </c>
      <c r="V187" s="163">
        <f t="shared" si="179"/>
        <v>-2.5300771006141742</v>
      </c>
    </row>
    <row r="188" spans="1:22" s="269" customFormat="1" outlineLevel="2">
      <c r="A188" s="149"/>
      <c r="B188" s="149"/>
      <c r="C188" s="150"/>
      <c r="D188" s="41"/>
      <c r="E188" s="163" t="str">
        <f xml:space="preserve"> E$180</f>
        <v>Business retail revenue adjustment - NPV adjusted</v>
      </c>
      <c r="F188" s="163">
        <f t="shared" ref="F188:V188" si="180" xml:space="preserve"> F$180</f>
        <v>0</v>
      </c>
      <c r="G188" s="163" t="str">
        <f t="shared" si="180"/>
        <v>£m</v>
      </c>
      <c r="H188" s="163">
        <f t="shared" si="180"/>
        <v>0</v>
      </c>
      <c r="I188" s="163">
        <f t="shared" si="180"/>
        <v>0</v>
      </c>
      <c r="J188" s="163">
        <f t="shared" si="180"/>
        <v>0</v>
      </c>
      <c r="K188" s="163">
        <f t="shared" si="180"/>
        <v>0</v>
      </c>
      <c r="L188" s="163">
        <f t="shared" si="180"/>
        <v>0</v>
      </c>
      <c r="M188" s="163">
        <f t="shared" si="180"/>
        <v>0</v>
      </c>
      <c r="N188" s="163">
        <f t="shared" si="180"/>
        <v>0</v>
      </c>
      <c r="O188" s="163">
        <f t="shared" si="180"/>
        <v>0</v>
      </c>
      <c r="P188" s="163">
        <f t="shared" si="180"/>
        <v>0</v>
      </c>
      <c r="Q188" s="163">
        <f t="shared" si="180"/>
        <v>0</v>
      </c>
      <c r="R188" s="163">
        <f t="shared" si="180"/>
        <v>0</v>
      </c>
      <c r="S188" s="163">
        <f t="shared" si="180"/>
        <v>0</v>
      </c>
      <c r="T188" s="163">
        <f t="shared" si="180"/>
        <v>0</v>
      </c>
      <c r="U188" s="163">
        <f t="shared" si="180"/>
        <v>0</v>
      </c>
      <c r="V188" s="163">
        <f t="shared" si="180"/>
        <v>0</v>
      </c>
    </row>
    <row r="189" spans="1:22" ht="5.0999999999999996" customHeight="1" outlineLevel="2"/>
    <row r="190" spans="1:22" s="193" customFormat="1" ht="12.75" customHeight="1" outlineLevel="2">
      <c r="A190" s="210"/>
      <c r="B190" s="210"/>
      <c r="C190" s="211"/>
      <c r="E190" s="213" t="str">
        <f t="shared" ref="E190:V190" si="181" xml:space="preserve"> E$28</f>
        <v>PV discount factor - Water resources</v>
      </c>
      <c r="F190" s="213">
        <f t="shared" si="181"/>
        <v>0</v>
      </c>
      <c r="G190" s="213" t="str">
        <f t="shared" si="181"/>
        <v>factor</v>
      </c>
      <c r="H190" s="213">
        <f t="shared" si="181"/>
        <v>4.7089624450258523</v>
      </c>
      <c r="I190" s="213">
        <f t="shared" si="181"/>
        <v>0</v>
      </c>
      <c r="J190" s="213">
        <f t="shared" si="181"/>
        <v>0</v>
      </c>
      <c r="K190" s="213">
        <f t="shared" si="181"/>
        <v>0</v>
      </c>
      <c r="L190" s="213">
        <f t="shared" si="181"/>
        <v>0</v>
      </c>
      <c r="M190" s="213">
        <f t="shared" si="181"/>
        <v>0</v>
      </c>
      <c r="N190" s="213">
        <f t="shared" si="181"/>
        <v>0</v>
      </c>
      <c r="O190" s="213">
        <f t="shared" si="181"/>
        <v>0</v>
      </c>
      <c r="P190" s="213">
        <f t="shared" si="181"/>
        <v>0</v>
      </c>
      <c r="Q190" s="213">
        <f t="shared" si="181"/>
        <v>0</v>
      </c>
      <c r="R190" s="213">
        <f t="shared" si="181"/>
        <v>1</v>
      </c>
      <c r="S190" s="213">
        <f t="shared" si="181"/>
        <v>0.97002619070714913</v>
      </c>
      <c r="T190" s="213">
        <f t="shared" si="181"/>
        <v>0.94095081065782249</v>
      </c>
      <c r="U190" s="213">
        <f t="shared" si="181"/>
        <v>0.91267083257176684</v>
      </c>
      <c r="V190" s="213">
        <f t="shared" si="181"/>
        <v>0.88531461108911325</v>
      </c>
    </row>
    <row r="191" spans="1:22" s="193" customFormat="1" ht="12.75" customHeight="1" outlineLevel="2">
      <c r="A191" s="210"/>
      <c r="B191" s="210"/>
      <c r="C191" s="211"/>
      <c r="E191" s="213" t="str">
        <f t="shared" ref="E191:V191" si="182" xml:space="preserve"> E$29</f>
        <v>PV discount factor - Water network</v>
      </c>
      <c r="F191" s="213">
        <f t="shared" si="182"/>
        <v>0</v>
      </c>
      <c r="G191" s="213" t="str">
        <f t="shared" si="182"/>
        <v>factor</v>
      </c>
      <c r="H191" s="213">
        <f t="shared" si="182"/>
        <v>4.7089624450258523</v>
      </c>
      <c r="I191" s="213">
        <f t="shared" si="182"/>
        <v>0</v>
      </c>
      <c r="J191" s="213">
        <f t="shared" si="182"/>
        <v>0</v>
      </c>
      <c r="K191" s="213">
        <f t="shared" si="182"/>
        <v>0</v>
      </c>
      <c r="L191" s="213">
        <f t="shared" si="182"/>
        <v>0</v>
      </c>
      <c r="M191" s="213">
        <f t="shared" si="182"/>
        <v>0</v>
      </c>
      <c r="N191" s="213">
        <f t="shared" si="182"/>
        <v>0</v>
      </c>
      <c r="O191" s="213">
        <f t="shared" si="182"/>
        <v>0</v>
      </c>
      <c r="P191" s="213">
        <f t="shared" si="182"/>
        <v>0</v>
      </c>
      <c r="Q191" s="213">
        <f t="shared" si="182"/>
        <v>0</v>
      </c>
      <c r="R191" s="213">
        <f t="shared" si="182"/>
        <v>1</v>
      </c>
      <c r="S191" s="213">
        <f t="shared" si="182"/>
        <v>0.97002619070714913</v>
      </c>
      <c r="T191" s="213">
        <f t="shared" si="182"/>
        <v>0.94095081065782249</v>
      </c>
      <c r="U191" s="213">
        <f t="shared" si="182"/>
        <v>0.91267083257176684</v>
      </c>
      <c r="V191" s="213">
        <f t="shared" si="182"/>
        <v>0.88531461108911325</v>
      </c>
    </row>
    <row r="192" spans="1:22" s="270" customFormat="1" ht="12.75" customHeight="1" outlineLevel="2">
      <c r="A192" s="210"/>
      <c r="B192" s="210"/>
      <c r="C192" s="211"/>
      <c r="D192" s="193"/>
      <c r="E192" s="213" t="str">
        <f xml:space="preserve"> E$30</f>
        <v>PV discount factor - Bioresources</v>
      </c>
      <c r="F192" s="213">
        <f t="shared" ref="F192:V192" si="183" xml:space="preserve"> F$30</f>
        <v>0</v>
      </c>
      <c r="G192" s="213" t="str">
        <f t="shared" si="183"/>
        <v>factor</v>
      </c>
      <c r="H192" s="213">
        <f t="shared" si="183"/>
        <v>4.7089624450258523</v>
      </c>
      <c r="I192" s="213">
        <f t="shared" si="183"/>
        <v>0</v>
      </c>
      <c r="J192" s="213">
        <f t="shared" si="183"/>
        <v>0</v>
      </c>
      <c r="K192" s="213">
        <f t="shared" si="183"/>
        <v>0</v>
      </c>
      <c r="L192" s="213">
        <f t="shared" si="183"/>
        <v>0</v>
      </c>
      <c r="M192" s="213">
        <f t="shared" si="183"/>
        <v>0</v>
      </c>
      <c r="N192" s="213">
        <f t="shared" si="183"/>
        <v>0</v>
      </c>
      <c r="O192" s="213">
        <f t="shared" si="183"/>
        <v>0</v>
      </c>
      <c r="P192" s="213">
        <f t="shared" si="183"/>
        <v>0</v>
      </c>
      <c r="Q192" s="213">
        <f t="shared" si="183"/>
        <v>0</v>
      </c>
      <c r="R192" s="213">
        <f t="shared" si="183"/>
        <v>1</v>
      </c>
      <c r="S192" s="213">
        <f t="shared" si="183"/>
        <v>0.97002619070714913</v>
      </c>
      <c r="T192" s="213">
        <f t="shared" si="183"/>
        <v>0.94095081065782249</v>
      </c>
      <c r="U192" s="213">
        <f t="shared" si="183"/>
        <v>0.91267083257176684</v>
      </c>
      <c r="V192" s="213">
        <f t="shared" si="183"/>
        <v>0.88531461108911325</v>
      </c>
    </row>
    <row r="193" spans="1:22" s="193" customFormat="1" ht="12.75" customHeight="1" outlineLevel="2">
      <c r="A193" s="210"/>
      <c r="B193" s="210"/>
      <c r="C193" s="211"/>
      <c r="E193" s="213" t="str">
        <f t="shared" ref="E193:V193" si="184" xml:space="preserve"> E$31</f>
        <v>PV discount factor - Wastewater network</v>
      </c>
      <c r="F193" s="213">
        <f t="shared" si="184"/>
        <v>0</v>
      </c>
      <c r="G193" s="213" t="str">
        <f t="shared" si="184"/>
        <v>factor</v>
      </c>
      <c r="H193" s="213">
        <f t="shared" si="184"/>
        <v>4.7089624450258523</v>
      </c>
      <c r="I193" s="213">
        <f t="shared" si="184"/>
        <v>0</v>
      </c>
      <c r="J193" s="213">
        <f t="shared" si="184"/>
        <v>0</v>
      </c>
      <c r="K193" s="213">
        <f t="shared" si="184"/>
        <v>0</v>
      </c>
      <c r="L193" s="213">
        <f t="shared" si="184"/>
        <v>0</v>
      </c>
      <c r="M193" s="213">
        <f t="shared" si="184"/>
        <v>0</v>
      </c>
      <c r="N193" s="213">
        <f t="shared" si="184"/>
        <v>0</v>
      </c>
      <c r="O193" s="213">
        <f t="shared" si="184"/>
        <v>0</v>
      </c>
      <c r="P193" s="213">
        <f t="shared" si="184"/>
        <v>0</v>
      </c>
      <c r="Q193" s="213">
        <f t="shared" si="184"/>
        <v>0</v>
      </c>
      <c r="R193" s="213">
        <f t="shared" si="184"/>
        <v>1</v>
      </c>
      <c r="S193" s="213">
        <f t="shared" si="184"/>
        <v>0.97002619070714913</v>
      </c>
      <c r="T193" s="213">
        <f t="shared" si="184"/>
        <v>0.94095081065782249</v>
      </c>
      <c r="U193" s="213">
        <f t="shared" si="184"/>
        <v>0.91267083257176684</v>
      </c>
      <c r="V193" s="213">
        <f t="shared" si="184"/>
        <v>0.88531461108911325</v>
      </c>
    </row>
    <row r="194" spans="1:22" s="193" customFormat="1" ht="12.75" customHeight="1" outlineLevel="2">
      <c r="A194" s="210"/>
      <c r="B194" s="210"/>
      <c r="C194" s="211"/>
      <c r="E194" s="293" t="str">
        <f t="shared" ref="E194:V194" si="185" xml:space="preserve"> E$32</f>
        <v>PV discount factor - Dummy control</v>
      </c>
      <c r="F194" s="293">
        <f t="shared" si="185"/>
        <v>0</v>
      </c>
      <c r="G194" s="293" t="str">
        <f t="shared" si="185"/>
        <v>factor</v>
      </c>
      <c r="H194" s="293">
        <f t="shared" si="185"/>
        <v>4.7089624450258523</v>
      </c>
      <c r="I194" s="293">
        <f t="shared" si="185"/>
        <v>0</v>
      </c>
      <c r="J194" s="304">
        <f t="shared" si="185"/>
        <v>0</v>
      </c>
      <c r="K194" s="293">
        <f t="shared" si="185"/>
        <v>0</v>
      </c>
      <c r="L194" s="293">
        <f t="shared" si="185"/>
        <v>0</v>
      </c>
      <c r="M194" s="293">
        <f t="shared" si="185"/>
        <v>0</v>
      </c>
      <c r="N194" s="293">
        <f t="shared" si="185"/>
        <v>0</v>
      </c>
      <c r="O194" s="293">
        <f t="shared" si="185"/>
        <v>0</v>
      </c>
      <c r="P194" s="293">
        <f t="shared" si="185"/>
        <v>0</v>
      </c>
      <c r="Q194" s="293">
        <f t="shared" si="185"/>
        <v>0</v>
      </c>
      <c r="R194" s="293">
        <f t="shared" si="185"/>
        <v>1</v>
      </c>
      <c r="S194" s="293">
        <f t="shared" si="185"/>
        <v>0.97002619070714913</v>
      </c>
      <c r="T194" s="293">
        <f t="shared" si="185"/>
        <v>0.94095081065782249</v>
      </c>
      <c r="U194" s="293">
        <f t="shared" si="185"/>
        <v>0.91267083257176684</v>
      </c>
      <c r="V194" s="293">
        <f t="shared" si="185"/>
        <v>0.88531461108911325</v>
      </c>
    </row>
    <row r="195" spans="1:22" s="193" customFormat="1" ht="12.75" customHeight="1" outlineLevel="2">
      <c r="A195" s="210"/>
      <c r="B195" s="210"/>
      <c r="C195" s="211"/>
      <c r="E195" s="213" t="str">
        <f t="shared" ref="E195:V195" si="186" xml:space="preserve"> E$33</f>
        <v>PV discount factor - Residential retail</v>
      </c>
      <c r="F195" s="213">
        <f t="shared" si="186"/>
        <v>0</v>
      </c>
      <c r="G195" s="213" t="str">
        <f t="shared" si="186"/>
        <v>factor</v>
      </c>
      <c r="H195" s="213">
        <f t="shared" si="186"/>
        <v>4.7089624450258523</v>
      </c>
      <c r="I195" s="213">
        <f t="shared" si="186"/>
        <v>0</v>
      </c>
      <c r="J195" s="213">
        <f t="shared" si="186"/>
        <v>0</v>
      </c>
      <c r="K195" s="213">
        <f t="shared" si="186"/>
        <v>0</v>
      </c>
      <c r="L195" s="213">
        <f t="shared" si="186"/>
        <v>0</v>
      </c>
      <c r="M195" s="213">
        <f t="shared" si="186"/>
        <v>0</v>
      </c>
      <c r="N195" s="213">
        <f t="shared" si="186"/>
        <v>0</v>
      </c>
      <c r="O195" s="213">
        <f t="shared" si="186"/>
        <v>0</v>
      </c>
      <c r="P195" s="213">
        <f t="shared" si="186"/>
        <v>0</v>
      </c>
      <c r="Q195" s="213">
        <f t="shared" si="186"/>
        <v>0</v>
      </c>
      <c r="R195" s="213">
        <f t="shared" si="186"/>
        <v>1</v>
      </c>
      <c r="S195" s="213">
        <f t="shared" si="186"/>
        <v>0.97002619070714913</v>
      </c>
      <c r="T195" s="213">
        <f t="shared" si="186"/>
        <v>0.94095081065782249</v>
      </c>
      <c r="U195" s="213">
        <f t="shared" si="186"/>
        <v>0.91267083257176684</v>
      </c>
      <c r="V195" s="213">
        <f t="shared" si="186"/>
        <v>0.88531461108911325</v>
      </c>
    </row>
    <row r="196" spans="1:22" s="270" customFormat="1" ht="12.75" customHeight="1" outlineLevel="2">
      <c r="A196" s="210"/>
      <c r="B196" s="210"/>
      <c r="C196" s="211"/>
      <c r="D196" s="193"/>
      <c r="E196" s="213" t="str">
        <f xml:space="preserve"> E$34</f>
        <v>PV discount factor - Business retail</v>
      </c>
      <c r="F196" s="213">
        <f t="shared" ref="F196:V196" si="187" xml:space="preserve"> F$34</f>
        <v>0</v>
      </c>
      <c r="G196" s="213" t="str">
        <f t="shared" si="187"/>
        <v>factor</v>
      </c>
      <c r="H196" s="213">
        <f t="shared" si="187"/>
        <v>4.7089624450258523</v>
      </c>
      <c r="I196" s="213">
        <f t="shared" si="187"/>
        <v>0</v>
      </c>
      <c r="J196" s="213">
        <f t="shared" si="187"/>
        <v>0</v>
      </c>
      <c r="K196" s="213">
        <f t="shared" si="187"/>
        <v>0</v>
      </c>
      <c r="L196" s="213">
        <f t="shared" si="187"/>
        <v>0</v>
      </c>
      <c r="M196" s="213">
        <f t="shared" si="187"/>
        <v>0</v>
      </c>
      <c r="N196" s="213">
        <f t="shared" si="187"/>
        <v>0</v>
      </c>
      <c r="O196" s="213">
        <f t="shared" si="187"/>
        <v>0</v>
      </c>
      <c r="P196" s="213">
        <f t="shared" si="187"/>
        <v>0</v>
      </c>
      <c r="Q196" s="213">
        <f t="shared" si="187"/>
        <v>0</v>
      </c>
      <c r="R196" s="213">
        <f t="shared" si="187"/>
        <v>1</v>
      </c>
      <c r="S196" s="213">
        <f t="shared" si="187"/>
        <v>0.97002619070714913</v>
      </c>
      <c r="T196" s="213">
        <f t="shared" si="187"/>
        <v>0.94095081065782249</v>
      </c>
      <c r="U196" s="213">
        <f t="shared" si="187"/>
        <v>0.91267083257176684</v>
      </c>
      <c r="V196" s="213">
        <f t="shared" si="187"/>
        <v>0.88531461108911325</v>
      </c>
    </row>
    <row r="197" spans="1:22" ht="5.0999999999999996" customHeight="1" outlineLevel="2"/>
    <row r="198" spans="1:22" s="163" customFormat="1" outlineLevel="2">
      <c r="A198" s="149"/>
      <c r="B198" s="149"/>
      <c r="C198" s="150"/>
      <c r="D198" s="41"/>
      <c r="E198" s="163" t="s">
        <v>843</v>
      </c>
      <c r="G198" s="163" t="s">
        <v>174</v>
      </c>
      <c r="H198" s="163">
        <f t="shared" ref="H198:H204" si="188" xml:space="preserve"> SUM(J198:V198)</f>
        <v>1.4552389089808715</v>
      </c>
      <c r="J198" s="163">
        <f t="shared" ref="J198:V198" si="189" xml:space="preserve"> J182 * J190</f>
        <v>0</v>
      </c>
      <c r="K198" s="163">
        <f t="shared" si="189"/>
        <v>0</v>
      </c>
      <c r="L198" s="163">
        <f t="shared" si="189"/>
        <v>0</v>
      </c>
      <c r="M198" s="163">
        <f t="shared" si="189"/>
        <v>0</v>
      </c>
      <c r="N198" s="163">
        <f t="shared" si="189"/>
        <v>0</v>
      </c>
      <c r="O198" s="163">
        <f t="shared" si="189"/>
        <v>0</v>
      </c>
      <c r="P198" s="163">
        <f t="shared" si="189"/>
        <v>0</v>
      </c>
      <c r="Q198" s="163">
        <f t="shared" si="189"/>
        <v>0</v>
      </c>
      <c r="R198" s="163">
        <f t="shared" si="189"/>
        <v>0.2910477817961743</v>
      </c>
      <c r="S198" s="163">
        <f t="shared" si="189"/>
        <v>0.2910477817961743</v>
      </c>
      <c r="T198" s="163">
        <f t="shared" si="189"/>
        <v>0.29104778179617435</v>
      </c>
      <c r="U198" s="163">
        <f t="shared" si="189"/>
        <v>0.2910477817961743</v>
      </c>
      <c r="V198" s="163">
        <f t="shared" si="189"/>
        <v>0.2910477817961743</v>
      </c>
    </row>
    <row r="199" spans="1:22" s="163" customFormat="1" outlineLevel="2">
      <c r="A199" s="149"/>
      <c r="B199" s="149"/>
      <c r="C199" s="150"/>
      <c r="D199" s="41"/>
      <c r="E199" s="163" t="s">
        <v>844</v>
      </c>
      <c r="G199" s="163" t="s">
        <v>174</v>
      </c>
      <c r="H199" s="163">
        <f t="shared" si="188"/>
        <v>-3.9561422547435328</v>
      </c>
      <c r="J199" s="163">
        <f t="shared" ref="J199:V199" si="190" xml:space="preserve"> J183 * J191</f>
        <v>0</v>
      </c>
      <c r="K199" s="163">
        <f t="shared" si="190"/>
        <v>0</v>
      </c>
      <c r="L199" s="163">
        <f t="shared" si="190"/>
        <v>0</v>
      </c>
      <c r="M199" s="163">
        <f t="shared" si="190"/>
        <v>0</v>
      </c>
      <c r="N199" s="163">
        <f t="shared" si="190"/>
        <v>0</v>
      </c>
      <c r="O199" s="163">
        <f t="shared" si="190"/>
        <v>0</v>
      </c>
      <c r="P199" s="163">
        <f t="shared" si="190"/>
        <v>0</v>
      </c>
      <c r="Q199" s="163">
        <f t="shared" si="190"/>
        <v>0</v>
      </c>
      <c r="R199" s="163">
        <f t="shared" si="190"/>
        <v>-0.79122845094870653</v>
      </c>
      <c r="S199" s="163">
        <f t="shared" si="190"/>
        <v>-0.79122845094870653</v>
      </c>
      <c r="T199" s="163">
        <f t="shared" si="190"/>
        <v>-0.79122845094870653</v>
      </c>
      <c r="U199" s="163">
        <f t="shared" si="190"/>
        <v>-0.79122845094870653</v>
      </c>
      <c r="V199" s="163">
        <f t="shared" si="190"/>
        <v>-0.79122845094870664</v>
      </c>
    </row>
    <row r="200" spans="1:22" s="163" customFormat="1" outlineLevel="2">
      <c r="A200" s="149"/>
      <c r="B200" s="149"/>
      <c r="C200" s="150"/>
      <c r="D200" s="41"/>
      <c r="E200" s="163" t="s">
        <v>845</v>
      </c>
      <c r="G200" s="163" t="s">
        <v>174</v>
      </c>
      <c r="H200" s="163">
        <f t="shared" si="188"/>
        <v>0</v>
      </c>
      <c r="J200" s="163">
        <f t="shared" ref="J200:V200" si="191" xml:space="preserve"> J184 * J192</f>
        <v>0</v>
      </c>
      <c r="K200" s="163">
        <f t="shared" si="191"/>
        <v>0</v>
      </c>
      <c r="L200" s="163">
        <f t="shared" si="191"/>
        <v>0</v>
      </c>
      <c r="M200" s="163">
        <f t="shared" si="191"/>
        <v>0</v>
      </c>
      <c r="N200" s="163">
        <f t="shared" si="191"/>
        <v>0</v>
      </c>
      <c r="O200" s="163">
        <f t="shared" si="191"/>
        <v>0</v>
      </c>
      <c r="P200" s="163">
        <f t="shared" si="191"/>
        <v>0</v>
      </c>
      <c r="Q200" s="163">
        <f t="shared" si="191"/>
        <v>0</v>
      </c>
      <c r="R200" s="163">
        <f t="shared" si="191"/>
        <v>0</v>
      </c>
      <c r="S200" s="163">
        <f t="shared" si="191"/>
        <v>0</v>
      </c>
      <c r="T200" s="163">
        <f t="shared" si="191"/>
        <v>0</v>
      </c>
      <c r="U200" s="163">
        <f t="shared" si="191"/>
        <v>0</v>
      </c>
      <c r="V200" s="163">
        <f t="shared" si="191"/>
        <v>0</v>
      </c>
    </row>
    <row r="201" spans="1:22" s="163" customFormat="1" outlineLevel="2">
      <c r="A201" s="149"/>
      <c r="B201" s="149"/>
      <c r="C201" s="150"/>
      <c r="D201" s="41"/>
      <c r="E201" s="163" t="s">
        <v>846</v>
      </c>
      <c r="G201" s="163" t="s">
        <v>174</v>
      </c>
      <c r="H201" s="163">
        <f t="shared" si="188"/>
        <v>0</v>
      </c>
      <c r="J201" s="163">
        <f t="shared" ref="J201:V202" si="192" xml:space="preserve"> J185 * J193</f>
        <v>0</v>
      </c>
      <c r="K201" s="163">
        <f t="shared" si="192"/>
        <v>0</v>
      </c>
      <c r="L201" s="163">
        <f t="shared" si="192"/>
        <v>0</v>
      </c>
      <c r="M201" s="163">
        <f t="shared" si="192"/>
        <v>0</v>
      </c>
      <c r="N201" s="163">
        <f t="shared" si="192"/>
        <v>0</v>
      </c>
      <c r="O201" s="163">
        <f t="shared" si="192"/>
        <v>0</v>
      </c>
      <c r="P201" s="163">
        <f t="shared" si="192"/>
        <v>0</v>
      </c>
      <c r="Q201" s="163">
        <f t="shared" si="192"/>
        <v>0</v>
      </c>
      <c r="R201" s="163">
        <f t="shared" si="192"/>
        <v>0</v>
      </c>
      <c r="S201" s="163">
        <f t="shared" si="192"/>
        <v>0</v>
      </c>
      <c r="T201" s="163">
        <f t="shared" si="192"/>
        <v>0</v>
      </c>
      <c r="U201" s="163">
        <f t="shared" si="192"/>
        <v>0</v>
      </c>
      <c r="V201" s="163">
        <f t="shared" si="192"/>
        <v>0</v>
      </c>
    </row>
    <row r="202" spans="1:22" s="163" customFormat="1" outlineLevel="2">
      <c r="A202" s="149"/>
      <c r="B202" s="149"/>
      <c r="C202" s="150"/>
      <c r="D202" s="41"/>
      <c r="E202" s="290" t="s">
        <v>847</v>
      </c>
      <c r="F202" s="290"/>
      <c r="G202" s="290" t="s">
        <v>174</v>
      </c>
      <c r="H202" s="290">
        <f xml:space="preserve"> SUM(J202:V202)</f>
        <v>0</v>
      </c>
      <c r="I202" s="290"/>
      <c r="J202" s="303">
        <f t="shared" si="192"/>
        <v>0</v>
      </c>
      <c r="K202" s="290">
        <f t="shared" si="192"/>
        <v>0</v>
      </c>
      <c r="L202" s="290">
        <f t="shared" si="192"/>
        <v>0</v>
      </c>
      <c r="M202" s="290">
        <f t="shared" si="192"/>
        <v>0</v>
      </c>
      <c r="N202" s="290">
        <f t="shared" si="192"/>
        <v>0</v>
      </c>
      <c r="O202" s="290">
        <f t="shared" si="192"/>
        <v>0</v>
      </c>
      <c r="P202" s="290">
        <f t="shared" si="192"/>
        <v>0</v>
      </c>
      <c r="Q202" s="290">
        <f t="shared" si="192"/>
        <v>0</v>
      </c>
      <c r="R202" s="290">
        <f t="shared" si="192"/>
        <v>0</v>
      </c>
      <c r="S202" s="290">
        <f t="shared" si="192"/>
        <v>0</v>
      </c>
      <c r="T202" s="290">
        <f t="shared" si="192"/>
        <v>0</v>
      </c>
      <c r="U202" s="290">
        <f t="shared" si="192"/>
        <v>0</v>
      </c>
      <c r="V202" s="290">
        <f t="shared" si="192"/>
        <v>0</v>
      </c>
    </row>
    <row r="203" spans="1:22" s="163" customFormat="1" outlineLevel="2">
      <c r="A203" s="149"/>
      <c r="B203" s="149"/>
      <c r="C203" s="150"/>
      <c r="D203" s="41"/>
      <c r="E203" s="163" t="s">
        <v>848</v>
      </c>
      <c r="G203" s="163" t="s">
        <v>174</v>
      </c>
      <c r="H203" s="163">
        <f t="shared" si="188"/>
        <v>-11.199571121778543</v>
      </c>
      <c r="J203" s="163">
        <f t="shared" ref="J203:V203" si="193" xml:space="preserve"> J187 * J195</f>
        <v>0</v>
      </c>
      <c r="K203" s="163">
        <f t="shared" si="193"/>
        <v>0</v>
      </c>
      <c r="L203" s="163">
        <f t="shared" si="193"/>
        <v>0</v>
      </c>
      <c r="M203" s="163">
        <f t="shared" si="193"/>
        <v>0</v>
      </c>
      <c r="N203" s="163">
        <f t="shared" si="193"/>
        <v>0</v>
      </c>
      <c r="O203" s="163">
        <f t="shared" si="193"/>
        <v>0</v>
      </c>
      <c r="P203" s="163">
        <f t="shared" si="193"/>
        <v>0</v>
      </c>
      <c r="Q203" s="163">
        <f t="shared" si="193"/>
        <v>0</v>
      </c>
      <c r="R203" s="163">
        <f t="shared" si="193"/>
        <v>-2.2399142243557089</v>
      </c>
      <c r="S203" s="163">
        <f t="shared" si="193"/>
        <v>-2.2399142243557089</v>
      </c>
      <c r="T203" s="163">
        <f t="shared" si="193"/>
        <v>-2.2399142243557093</v>
      </c>
      <c r="U203" s="163">
        <f t="shared" si="193"/>
        <v>-2.2399142243557089</v>
      </c>
      <c r="V203" s="163">
        <f t="shared" si="193"/>
        <v>-2.2399142243557089</v>
      </c>
    </row>
    <row r="204" spans="1:22" s="163" customFormat="1" outlineLevel="2">
      <c r="A204" s="149"/>
      <c r="B204" s="149"/>
      <c r="C204" s="150"/>
      <c r="D204" s="41"/>
      <c r="E204" s="163" t="s">
        <v>849</v>
      </c>
      <c r="G204" s="163" t="s">
        <v>174</v>
      </c>
      <c r="H204" s="163">
        <f t="shared" si="188"/>
        <v>0</v>
      </c>
      <c r="J204" s="163">
        <f t="shared" ref="J204:V204" si="194" xml:space="preserve"> J188 * J196</f>
        <v>0</v>
      </c>
      <c r="K204" s="163">
        <f t="shared" si="194"/>
        <v>0</v>
      </c>
      <c r="L204" s="163">
        <f t="shared" si="194"/>
        <v>0</v>
      </c>
      <c r="M204" s="163">
        <f t="shared" si="194"/>
        <v>0</v>
      </c>
      <c r="N204" s="163">
        <f t="shared" si="194"/>
        <v>0</v>
      </c>
      <c r="O204" s="163">
        <f t="shared" si="194"/>
        <v>0</v>
      </c>
      <c r="P204" s="163">
        <f t="shared" si="194"/>
        <v>0</v>
      </c>
      <c r="Q204" s="163">
        <f t="shared" si="194"/>
        <v>0</v>
      </c>
      <c r="R204" s="163">
        <f t="shared" si="194"/>
        <v>0</v>
      </c>
      <c r="S204" s="163">
        <f t="shared" si="194"/>
        <v>0</v>
      </c>
      <c r="T204" s="163">
        <f t="shared" si="194"/>
        <v>0</v>
      </c>
      <c r="U204" s="163">
        <f t="shared" si="194"/>
        <v>0</v>
      </c>
      <c r="V204" s="163">
        <f t="shared" si="194"/>
        <v>0</v>
      </c>
    </row>
    <row r="205" spans="1:22" outlineLevel="1"/>
    <row r="207" spans="1:22" ht="12.75" customHeight="1">
      <c r="A207" s="39" t="s">
        <v>850</v>
      </c>
      <c r="B207" s="39"/>
      <c r="C207" s="40"/>
      <c r="D207" s="39"/>
      <c r="E207" s="39"/>
      <c r="F207" s="39"/>
      <c r="G207" s="39"/>
      <c r="H207" s="39"/>
      <c r="I207" s="39"/>
      <c r="J207" s="39"/>
      <c r="K207" s="39"/>
      <c r="L207" s="39"/>
      <c r="M207" s="39"/>
      <c r="N207" s="39"/>
      <c r="O207" s="39"/>
      <c r="P207" s="39"/>
      <c r="Q207" s="39"/>
      <c r="R207" s="39"/>
      <c r="S207" s="39"/>
      <c r="T207" s="39"/>
      <c r="U207" s="39"/>
      <c r="V207" s="39"/>
    </row>
    <row r="208" spans="1:22" outlineLevel="1"/>
    <row r="209" spans="1:22" outlineLevel="1">
      <c r="A209" s="355" t="str">
        <f xml:space="preserve"> Inputs!A$148</f>
        <v>C041</v>
      </c>
      <c r="E209" s="12" t="str">
        <f xml:space="preserve"> Inputs!E$148</f>
        <v>Water resources revenue adjustment selector</v>
      </c>
      <c r="F209" s="12">
        <f xml:space="preserve"> Inputs!F$148</f>
        <v>2</v>
      </c>
      <c r="G209" s="12" t="str">
        <f xml:space="preserve"> Inputs!G$148</f>
        <v>0 = Apply in first year, 1 = Constant annuity 2020-25, 2 = Even allocation - NPV neutral</v>
      </c>
    </row>
    <row r="210" spans="1:22" outlineLevel="2">
      <c r="A210" s="355" t="str">
        <f xml:space="preserve"> Inputs!A$149</f>
        <v>C051</v>
      </c>
      <c r="E210" s="12" t="str">
        <f xml:space="preserve"> Inputs!E$149</f>
        <v>Water network plus revenue adjustment selector</v>
      </c>
      <c r="F210" s="12">
        <f xml:space="preserve"> Inputs!F$149</f>
        <v>2</v>
      </c>
      <c r="G210" s="12" t="str">
        <f xml:space="preserve"> Inputs!G$149</f>
        <v>0 = Apply in first year, 1 = Constant annuity 2020-25, 2 = Even allocation - NPV neutral</v>
      </c>
    </row>
    <row r="211" spans="1:22" s="265" customFormat="1" outlineLevel="2">
      <c r="A211" s="355" t="str">
        <f xml:space="preserve"> Inputs!A$150</f>
        <v>C061</v>
      </c>
      <c r="B211" s="10"/>
      <c r="C211" s="2"/>
      <c r="D211" s="3"/>
      <c r="E211" s="12" t="str">
        <f xml:space="preserve"> Inputs!E$150</f>
        <v>Bioesources revenue adjustment selector</v>
      </c>
      <c r="F211" s="12">
        <f xml:space="preserve"> Inputs!F$150</f>
        <v>0</v>
      </c>
      <c r="G211" s="12" t="str">
        <f xml:space="preserve"> Inputs!G$150</f>
        <v>0 = Apply in first year, 1 = Constant annuity 2020-25, 2 = Even allocation - NPV neutral</v>
      </c>
      <c r="H211"/>
      <c r="I211"/>
      <c r="J211"/>
      <c r="K211"/>
      <c r="L211"/>
      <c r="M211"/>
      <c r="N211"/>
      <c r="O211"/>
      <c r="P211"/>
      <c r="Q211"/>
      <c r="R211"/>
      <c r="S211"/>
      <c r="T211"/>
      <c r="U211"/>
      <c r="V211"/>
    </row>
    <row r="212" spans="1:22" outlineLevel="2">
      <c r="A212" s="355" t="str">
        <f xml:space="preserve"> Inputs!A$151</f>
        <v>C071</v>
      </c>
      <c r="E212" s="12" t="str">
        <f xml:space="preserve"> Inputs!E$151</f>
        <v>Wastewater network plus revenue adjustment selector</v>
      </c>
      <c r="F212" s="12">
        <f xml:space="preserve"> Inputs!F$151</f>
        <v>0</v>
      </c>
      <c r="G212" s="12" t="str">
        <f xml:space="preserve"> Inputs!G$151</f>
        <v>0 = Apply in first year, 1 = Constant annuity 2020-25, 2 = Even allocation - NPV neutral</v>
      </c>
    </row>
    <row r="213" spans="1:22" outlineLevel="2">
      <c r="A213" s="355" t="str">
        <f xml:space="preserve"> Inputs!A$152</f>
        <v>C081</v>
      </c>
      <c r="E213" s="319" t="str">
        <f xml:space="preserve"> Inputs!E$152</f>
        <v>Dummy control revenue adjustment selector</v>
      </c>
      <c r="F213" s="320">
        <f xml:space="preserve"> Inputs!F$152</f>
        <v>0</v>
      </c>
      <c r="G213" s="319" t="str">
        <f xml:space="preserve"> Inputs!G$152</f>
        <v>0 = Apply in first year, 1 = Constant annuity 2020-25, 2 = Even allocation - NPV neutral</v>
      </c>
      <c r="H213" s="284"/>
    </row>
    <row r="214" spans="1:22" outlineLevel="2">
      <c r="A214" s="355" t="str">
        <f xml:space="preserve"> Inputs!A$153</f>
        <v>C091</v>
      </c>
      <c r="E214" s="12" t="str">
        <f xml:space="preserve"> Inputs!E$153</f>
        <v>Residential retail revenue adjustment selector</v>
      </c>
      <c r="F214" s="12">
        <f xml:space="preserve"> Inputs!F$153</f>
        <v>2</v>
      </c>
      <c r="G214" s="12" t="str">
        <f xml:space="preserve"> Inputs!G$153</f>
        <v>0 = Apply in first year, 1 = Constant annuity 2020-25, 2 = Even allocation - NPV neutral</v>
      </c>
    </row>
    <row r="215" spans="1:22" s="265" customFormat="1" outlineLevel="2">
      <c r="A215" s="355" t="str">
        <f xml:space="preserve"> Inputs!A$154</f>
        <v>C101</v>
      </c>
      <c r="B215" s="10"/>
      <c r="C215" s="2"/>
      <c r="D215" s="3"/>
      <c r="E215" s="12" t="str">
        <f xml:space="preserve"> Inputs!E$154</f>
        <v>Business retail revenue adjustment selector</v>
      </c>
      <c r="F215" s="12">
        <f xml:space="preserve"> Inputs!F$154</f>
        <v>0</v>
      </c>
      <c r="G215" s="12" t="str">
        <f xml:space="preserve"> Inputs!G$154</f>
        <v>0 = Apply in first year, 1 = Constant annuity 2020-25, 2 = Even allocation - NPV neutral</v>
      </c>
      <c r="H215"/>
      <c r="I215"/>
      <c r="J215"/>
      <c r="K215"/>
      <c r="L215"/>
      <c r="M215"/>
      <c r="N215"/>
      <c r="O215"/>
      <c r="P215"/>
      <c r="Q215"/>
      <c r="R215"/>
      <c r="S215"/>
      <c r="T215"/>
      <c r="U215"/>
      <c r="V215"/>
    </row>
    <row r="216" spans="1:22" ht="5.0999999999999996" customHeight="1" outlineLevel="1"/>
    <row r="217" spans="1:22" outlineLevel="1">
      <c r="E217" s="163" t="str">
        <f t="shared" ref="E217:F217" si="195" xml:space="preserve"> E$93</f>
        <v>Water resources revenue adjustment applied in first year</v>
      </c>
      <c r="F217" s="163">
        <f t="shared" si="195"/>
        <v>0</v>
      </c>
      <c r="G217" s="163" t="str">
        <f t="shared" ref="G217:V217" si="196" xml:space="preserve"> G$93</f>
        <v>£m</v>
      </c>
      <c r="H217" s="163">
        <f t="shared" si="196"/>
        <v>1.4552389089808715</v>
      </c>
      <c r="I217" s="163">
        <f t="shared" si="196"/>
        <v>0</v>
      </c>
      <c r="J217" s="163">
        <f t="shared" si="196"/>
        <v>0</v>
      </c>
      <c r="K217" s="163">
        <f t="shared" si="196"/>
        <v>0</v>
      </c>
      <c r="L217" s="163">
        <f t="shared" si="196"/>
        <v>0</v>
      </c>
      <c r="M217" s="163">
        <f t="shared" si="196"/>
        <v>0</v>
      </c>
      <c r="N217" s="163">
        <f t="shared" si="196"/>
        <v>0</v>
      </c>
      <c r="O217" s="163">
        <f t="shared" si="196"/>
        <v>0</v>
      </c>
      <c r="P217" s="163">
        <f t="shared" si="196"/>
        <v>0</v>
      </c>
      <c r="Q217" s="163">
        <f t="shared" si="196"/>
        <v>0</v>
      </c>
      <c r="R217" s="163">
        <f t="shared" si="196"/>
        <v>1.4552389089808715</v>
      </c>
      <c r="S217" s="163">
        <f t="shared" si="196"/>
        <v>0</v>
      </c>
      <c r="T217" s="163">
        <f t="shared" si="196"/>
        <v>0</v>
      </c>
      <c r="U217" s="163">
        <f t="shared" si="196"/>
        <v>0</v>
      </c>
      <c r="V217" s="163">
        <f t="shared" si="196"/>
        <v>0</v>
      </c>
    </row>
    <row r="218" spans="1:22" outlineLevel="2">
      <c r="E218" s="163" t="str">
        <f t="shared" ref="E218:F218" si="197" xml:space="preserve"> E$94</f>
        <v>Water network revenue adjustment applied in first year</v>
      </c>
      <c r="F218" s="163">
        <f t="shared" si="197"/>
        <v>0</v>
      </c>
      <c r="G218" s="163" t="str">
        <f t="shared" ref="G218:V218" si="198" xml:space="preserve"> G$94</f>
        <v>£m</v>
      </c>
      <c r="H218" s="163">
        <f t="shared" si="198"/>
        <v>-3.9561422547435328</v>
      </c>
      <c r="I218" s="163">
        <f t="shared" si="198"/>
        <v>0</v>
      </c>
      <c r="J218" s="163">
        <f t="shared" si="198"/>
        <v>0</v>
      </c>
      <c r="K218" s="163">
        <f t="shared" si="198"/>
        <v>0</v>
      </c>
      <c r="L218" s="163">
        <f t="shared" si="198"/>
        <v>0</v>
      </c>
      <c r="M218" s="163">
        <f t="shared" si="198"/>
        <v>0</v>
      </c>
      <c r="N218" s="163">
        <f t="shared" si="198"/>
        <v>0</v>
      </c>
      <c r="O218" s="163">
        <f t="shared" si="198"/>
        <v>0</v>
      </c>
      <c r="P218" s="163">
        <f t="shared" si="198"/>
        <v>0</v>
      </c>
      <c r="Q218" s="163">
        <f t="shared" si="198"/>
        <v>0</v>
      </c>
      <c r="R218" s="163">
        <f t="shared" si="198"/>
        <v>-3.9561422547435328</v>
      </c>
      <c r="S218" s="163">
        <f t="shared" si="198"/>
        <v>0</v>
      </c>
      <c r="T218" s="163">
        <f t="shared" si="198"/>
        <v>0</v>
      </c>
      <c r="U218" s="163">
        <f t="shared" si="198"/>
        <v>0</v>
      </c>
      <c r="V218" s="163">
        <f t="shared" si="198"/>
        <v>0</v>
      </c>
    </row>
    <row r="219" spans="1:22" s="265" customFormat="1" outlineLevel="2">
      <c r="A219" s="10"/>
      <c r="B219" s="10"/>
      <c r="C219" s="2"/>
      <c r="D219" s="3"/>
      <c r="E219" s="163" t="str">
        <f xml:space="preserve"> E$95</f>
        <v>Bioresources revenue adjustment applied in first year</v>
      </c>
      <c r="F219" s="163">
        <f t="shared" ref="F219:V219" si="199" xml:space="preserve"> F$95</f>
        <v>0</v>
      </c>
      <c r="G219" s="163" t="str">
        <f t="shared" si="199"/>
        <v>£m</v>
      </c>
      <c r="H219" s="163">
        <f t="shared" si="199"/>
        <v>0</v>
      </c>
      <c r="I219" s="163">
        <f t="shared" si="199"/>
        <v>0</v>
      </c>
      <c r="J219" s="163">
        <f t="shared" si="199"/>
        <v>0</v>
      </c>
      <c r="K219" s="163">
        <f t="shared" si="199"/>
        <v>0</v>
      </c>
      <c r="L219" s="163">
        <f t="shared" si="199"/>
        <v>0</v>
      </c>
      <c r="M219" s="163">
        <f t="shared" si="199"/>
        <v>0</v>
      </c>
      <c r="N219" s="163">
        <f t="shared" si="199"/>
        <v>0</v>
      </c>
      <c r="O219" s="163">
        <f t="shared" si="199"/>
        <v>0</v>
      </c>
      <c r="P219" s="163">
        <f t="shared" si="199"/>
        <v>0</v>
      </c>
      <c r="Q219" s="163">
        <f t="shared" si="199"/>
        <v>0</v>
      </c>
      <c r="R219" s="163">
        <f t="shared" si="199"/>
        <v>0</v>
      </c>
      <c r="S219" s="163">
        <f t="shared" si="199"/>
        <v>0</v>
      </c>
      <c r="T219" s="163">
        <f t="shared" si="199"/>
        <v>0</v>
      </c>
      <c r="U219" s="163">
        <f t="shared" si="199"/>
        <v>0</v>
      </c>
      <c r="V219" s="163">
        <f t="shared" si="199"/>
        <v>0</v>
      </c>
    </row>
    <row r="220" spans="1:22" outlineLevel="2">
      <c r="E220" s="163" t="str">
        <f t="shared" ref="E220:F220" si="200" xml:space="preserve"> E$96</f>
        <v>Wastewater network revenue adjustment applied in first year</v>
      </c>
      <c r="F220" s="163">
        <f t="shared" si="200"/>
        <v>0</v>
      </c>
      <c r="G220" s="163" t="str">
        <f t="shared" ref="G220:V220" si="201" xml:space="preserve"> G$96</f>
        <v>£m</v>
      </c>
      <c r="H220" s="163">
        <f t="shared" si="201"/>
        <v>0</v>
      </c>
      <c r="I220" s="163">
        <f t="shared" si="201"/>
        <v>0</v>
      </c>
      <c r="J220" s="163">
        <f t="shared" si="201"/>
        <v>0</v>
      </c>
      <c r="K220" s="163">
        <f t="shared" si="201"/>
        <v>0</v>
      </c>
      <c r="L220" s="163">
        <f t="shared" si="201"/>
        <v>0</v>
      </c>
      <c r="M220" s="163">
        <f t="shared" si="201"/>
        <v>0</v>
      </c>
      <c r="N220" s="163">
        <f t="shared" si="201"/>
        <v>0</v>
      </c>
      <c r="O220" s="163">
        <f t="shared" si="201"/>
        <v>0</v>
      </c>
      <c r="P220" s="163">
        <f t="shared" si="201"/>
        <v>0</v>
      </c>
      <c r="Q220" s="163">
        <f t="shared" si="201"/>
        <v>0</v>
      </c>
      <c r="R220" s="163">
        <f t="shared" si="201"/>
        <v>0</v>
      </c>
      <c r="S220" s="163">
        <f t="shared" si="201"/>
        <v>0</v>
      </c>
      <c r="T220" s="163">
        <f t="shared" si="201"/>
        <v>0</v>
      </c>
      <c r="U220" s="163">
        <f t="shared" si="201"/>
        <v>0</v>
      </c>
      <c r="V220" s="163">
        <f t="shared" si="201"/>
        <v>0</v>
      </c>
    </row>
    <row r="221" spans="1:22" outlineLevel="2">
      <c r="E221" s="290" t="str">
        <f t="shared" ref="E221:V221" si="202" xml:space="preserve"> E$97</f>
        <v>Dummy control revenue adjustment applied in first year</v>
      </c>
      <c r="F221" s="290">
        <f t="shared" si="202"/>
        <v>0</v>
      </c>
      <c r="G221" s="290" t="str">
        <f t="shared" si="202"/>
        <v>£m</v>
      </c>
      <c r="H221" s="290">
        <f t="shared" si="202"/>
        <v>0</v>
      </c>
      <c r="I221" s="290">
        <f t="shared" si="202"/>
        <v>0</v>
      </c>
      <c r="J221" s="303">
        <f t="shared" si="202"/>
        <v>0</v>
      </c>
      <c r="K221" s="290">
        <f t="shared" si="202"/>
        <v>0</v>
      </c>
      <c r="L221" s="290">
        <f t="shared" si="202"/>
        <v>0</v>
      </c>
      <c r="M221" s="290">
        <f t="shared" si="202"/>
        <v>0</v>
      </c>
      <c r="N221" s="290">
        <f t="shared" si="202"/>
        <v>0</v>
      </c>
      <c r="O221" s="290">
        <f t="shared" si="202"/>
        <v>0</v>
      </c>
      <c r="P221" s="290">
        <f t="shared" si="202"/>
        <v>0</v>
      </c>
      <c r="Q221" s="290">
        <f t="shared" si="202"/>
        <v>0</v>
      </c>
      <c r="R221" s="290">
        <f t="shared" si="202"/>
        <v>0</v>
      </c>
      <c r="S221" s="290">
        <f t="shared" si="202"/>
        <v>0</v>
      </c>
      <c r="T221" s="290">
        <f t="shared" si="202"/>
        <v>0</v>
      </c>
      <c r="U221" s="290">
        <f t="shared" si="202"/>
        <v>0</v>
      </c>
      <c r="V221" s="290">
        <f t="shared" si="202"/>
        <v>0</v>
      </c>
    </row>
    <row r="222" spans="1:22" outlineLevel="2">
      <c r="E222" s="163" t="str">
        <f t="shared" ref="E222:F222" si="203" xml:space="preserve"> E$98</f>
        <v>Residential retail revenue adjustment applied in first year</v>
      </c>
      <c r="F222" s="163">
        <f t="shared" si="203"/>
        <v>0</v>
      </c>
      <c r="G222" s="163" t="str">
        <f t="shared" ref="G222:V222" si="204" xml:space="preserve"> G$98</f>
        <v>£m</v>
      </c>
      <c r="H222" s="163">
        <f t="shared" si="204"/>
        <v>-11.199571121778545</v>
      </c>
      <c r="I222" s="163">
        <f t="shared" si="204"/>
        <v>0</v>
      </c>
      <c r="J222" s="163">
        <f t="shared" si="204"/>
        <v>0</v>
      </c>
      <c r="K222" s="163">
        <f t="shared" si="204"/>
        <v>0</v>
      </c>
      <c r="L222" s="163">
        <f t="shared" si="204"/>
        <v>0</v>
      </c>
      <c r="M222" s="163">
        <f t="shared" si="204"/>
        <v>0</v>
      </c>
      <c r="N222" s="163">
        <f t="shared" si="204"/>
        <v>0</v>
      </c>
      <c r="O222" s="163">
        <f t="shared" si="204"/>
        <v>0</v>
      </c>
      <c r="P222" s="163">
        <f t="shared" si="204"/>
        <v>0</v>
      </c>
      <c r="Q222" s="163">
        <f t="shared" si="204"/>
        <v>0</v>
      </c>
      <c r="R222" s="163">
        <f t="shared" si="204"/>
        <v>-11.199571121778545</v>
      </c>
      <c r="S222" s="163">
        <f t="shared" si="204"/>
        <v>0</v>
      </c>
      <c r="T222" s="163">
        <f t="shared" si="204"/>
        <v>0</v>
      </c>
      <c r="U222" s="163">
        <f t="shared" si="204"/>
        <v>0</v>
      </c>
      <c r="V222" s="163">
        <f t="shared" si="204"/>
        <v>0</v>
      </c>
    </row>
    <row r="223" spans="1:22" s="265" customFormat="1" outlineLevel="2">
      <c r="A223" s="10"/>
      <c r="B223" s="10"/>
      <c r="C223" s="2"/>
      <c r="D223" s="3"/>
      <c r="E223" s="163" t="str">
        <f xml:space="preserve"> E$99</f>
        <v>Business retail revenue adjustment applied in first year</v>
      </c>
      <c r="F223" s="163">
        <f t="shared" ref="F223:V223" si="205" xml:space="preserve"> F$99</f>
        <v>0</v>
      </c>
      <c r="G223" s="163" t="str">
        <f t="shared" si="205"/>
        <v>£m</v>
      </c>
      <c r="H223" s="163">
        <f t="shared" si="205"/>
        <v>0</v>
      </c>
      <c r="I223" s="163">
        <f t="shared" si="205"/>
        <v>0</v>
      </c>
      <c r="J223" s="163">
        <f t="shared" si="205"/>
        <v>0</v>
      </c>
      <c r="K223" s="163">
        <f t="shared" si="205"/>
        <v>0</v>
      </c>
      <c r="L223" s="163">
        <f t="shared" si="205"/>
        <v>0</v>
      </c>
      <c r="M223" s="163">
        <f t="shared" si="205"/>
        <v>0</v>
      </c>
      <c r="N223" s="163">
        <f t="shared" si="205"/>
        <v>0</v>
      </c>
      <c r="O223" s="163">
        <f t="shared" si="205"/>
        <v>0</v>
      </c>
      <c r="P223" s="163">
        <f t="shared" si="205"/>
        <v>0</v>
      </c>
      <c r="Q223" s="163">
        <f t="shared" si="205"/>
        <v>0</v>
      </c>
      <c r="R223" s="163">
        <f t="shared" si="205"/>
        <v>0</v>
      </c>
      <c r="S223" s="163">
        <f t="shared" si="205"/>
        <v>0</v>
      </c>
      <c r="T223" s="163">
        <f t="shared" si="205"/>
        <v>0</v>
      </c>
      <c r="U223" s="163">
        <f t="shared" si="205"/>
        <v>0</v>
      </c>
      <c r="V223" s="163">
        <f t="shared" si="205"/>
        <v>0</v>
      </c>
    </row>
    <row r="224" spans="1:22" ht="5.0999999999999996" customHeight="1" outlineLevel="1"/>
    <row r="225" spans="1:22" outlineLevel="1">
      <c r="E225" s="163" t="str">
        <f xml:space="preserve"> E$128</f>
        <v>Water resources revenue adjustment - EAC factor adjusted</v>
      </c>
      <c r="F225" s="163">
        <f t="shared" ref="F225:V225" si="206" xml:space="preserve"> F$128</f>
        <v>0</v>
      </c>
      <c r="G225" s="163" t="str">
        <f t="shared" si="206"/>
        <v>£m</v>
      </c>
      <c r="H225" s="163">
        <f t="shared" si="206"/>
        <v>1.5451799902524834</v>
      </c>
      <c r="I225" s="163">
        <f t="shared" si="206"/>
        <v>0</v>
      </c>
      <c r="J225" s="163">
        <f t="shared" si="206"/>
        <v>0</v>
      </c>
      <c r="K225" s="163">
        <f t="shared" si="206"/>
        <v>0</v>
      </c>
      <c r="L225" s="163">
        <f t="shared" si="206"/>
        <v>0</v>
      </c>
      <c r="M225" s="163">
        <f t="shared" si="206"/>
        <v>0</v>
      </c>
      <c r="N225" s="163">
        <f t="shared" si="206"/>
        <v>0</v>
      </c>
      <c r="O225" s="163">
        <f t="shared" si="206"/>
        <v>0</v>
      </c>
      <c r="P225" s="163">
        <f t="shared" si="206"/>
        <v>0</v>
      </c>
      <c r="Q225" s="163">
        <f t="shared" si="206"/>
        <v>0</v>
      </c>
      <c r="R225" s="163">
        <f t="shared" si="206"/>
        <v>0.3090359980504967</v>
      </c>
      <c r="S225" s="163">
        <f t="shared" si="206"/>
        <v>0.3090359980504967</v>
      </c>
      <c r="T225" s="163">
        <f t="shared" si="206"/>
        <v>0.3090359980504967</v>
      </c>
      <c r="U225" s="163">
        <f t="shared" si="206"/>
        <v>0.3090359980504967</v>
      </c>
      <c r="V225" s="163">
        <f t="shared" si="206"/>
        <v>0.3090359980504967</v>
      </c>
    </row>
    <row r="226" spans="1:22" outlineLevel="2">
      <c r="E226" s="163" t="str">
        <f xml:space="preserve"> E$129</f>
        <v>Water network revenue adjustment - EAC factor adjusted</v>
      </c>
      <c r="F226" s="163">
        <f t="shared" ref="F226:V226" si="207" xml:space="preserve"> F$129</f>
        <v>0</v>
      </c>
      <c r="G226" s="163" t="str">
        <f t="shared" si="207"/>
        <v>£m</v>
      </c>
      <c r="H226" s="163">
        <f t="shared" si="207"/>
        <v>-4.2006517369048728</v>
      </c>
      <c r="I226" s="163">
        <f t="shared" si="207"/>
        <v>0</v>
      </c>
      <c r="J226" s="163">
        <f t="shared" si="207"/>
        <v>0</v>
      </c>
      <c r="K226" s="163">
        <f t="shared" si="207"/>
        <v>0</v>
      </c>
      <c r="L226" s="163">
        <f t="shared" si="207"/>
        <v>0</v>
      </c>
      <c r="M226" s="163">
        <f t="shared" si="207"/>
        <v>0</v>
      </c>
      <c r="N226" s="163">
        <f t="shared" si="207"/>
        <v>0</v>
      </c>
      <c r="O226" s="163">
        <f t="shared" si="207"/>
        <v>0</v>
      </c>
      <c r="P226" s="163">
        <f t="shared" si="207"/>
        <v>0</v>
      </c>
      <c r="Q226" s="163">
        <f t="shared" si="207"/>
        <v>0</v>
      </c>
      <c r="R226" s="163">
        <f t="shared" si="207"/>
        <v>-0.84013034738097458</v>
      </c>
      <c r="S226" s="163">
        <f t="shared" si="207"/>
        <v>-0.84013034738097458</v>
      </c>
      <c r="T226" s="163">
        <f t="shared" si="207"/>
        <v>-0.84013034738097458</v>
      </c>
      <c r="U226" s="163">
        <f t="shared" si="207"/>
        <v>-0.84013034738097458</v>
      </c>
      <c r="V226" s="163">
        <f t="shared" si="207"/>
        <v>-0.84013034738097458</v>
      </c>
    </row>
    <row r="227" spans="1:22" s="265" customFormat="1" outlineLevel="2">
      <c r="A227" s="10"/>
      <c r="B227" s="10"/>
      <c r="C227" s="2"/>
      <c r="D227" s="3"/>
      <c r="E227" s="163" t="str">
        <f xml:space="preserve"> E$130</f>
        <v>Bioresources revenue adjustment - EAC factor adjusted</v>
      </c>
      <c r="F227" s="163">
        <f t="shared" ref="F227:V227" si="208" xml:space="preserve"> F$130</f>
        <v>0</v>
      </c>
      <c r="G227" s="163" t="str">
        <f t="shared" si="208"/>
        <v>£m</v>
      </c>
      <c r="H227" s="163">
        <f t="shared" si="208"/>
        <v>0</v>
      </c>
      <c r="I227" s="163">
        <f t="shared" si="208"/>
        <v>0</v>
      </c>
      <c r="J227" s="163">
        <f t="shared" si="208"/>
        <v>0</v>
      </c>
      <c r="K227" s="163">
        <f t="shared" si="208"/>
        <v>0</v>
      </c>
      <c r="L227" s="163">
        <f t="shared" si="208"/>
        <v>0</v>
      </c>
      <c r="M227" s="163">
        <f t="shared" si="208"/>
        <v>0</v>
      </c>
      <c r="N227" s="163">
        <f t="shared" si="208"/>
        <v>0</v>
      </c>
      <c r="O227" s="163">
        <f t="shared" si="208"/>
        <v>0</v>
      </c>
      <c r="P227" s="163">
        <f t="shared" si="208"/>
        <v>0</v>
      </c>
      <c r="Q227" s="163">
        <f t="shared" si="208"/>
        <v>0</v>
      </c>
      <c r="R227" s="163">
        <f t="shared" si="208"/>
        <v>0</v>
      </c>
      <c r="S227" s="163">
        <f t="shared" si="208"/>
        <v>0</v>
      </c>
      <c r="T227" s="163">
        <f t="shared" si="208"/>
        <v>0</v>
      </c>
      <c r="U227" s="163">
        <f t="shared" si="208"/>
        <v>0</v>
      </c>
      <c r="V227" s="163">
        <f t="shared" si="208"/>
        <v>0</v>
      </c>
    </row>
    <row r="228" spans="1:22" outlineLevel="2">
      <c r="E228" s="163" t="str">
        <f xml:space="preserve"> E$131</f>
        <v>Wastewater network revenue adjustment - EAC factor adjusted</v>
      </c>
      <c r="F228" s="163">
        <f t="shared" ref="F228:V228" si="209" xml:space="preserve"> F$131</f>
        <v>0</v>
      </c>
      <c r="G228" s="163" t="str">
        <f t="shared" si="209"/>
        <v>£m</v>
      </c>
      <c r="H228" s="163">
        <f t="shared" si="209"/>
        <v>0</v>
      </c>
      <c r="I228" s="163">
        <f t="shared" si="209"/>
        <v>0</v>
      </c>
      <c r="J228" s="163">
        <f t="shared" si="209"/>
        <v>0</v>
      </c>
      <c r="K228" s="163">
        <f t="shared" si="209"/>
        <v>0</v>
      </c>
      <c r="L228" s="163">
        <f t="shared" si="209"/>
        <v>0</v>
      </c>
      <c r="M228" s="163">
        <f t="shared" si="209"/>
        <v>0</v>
      </c>
      <c r="N228" s="163">
        <f t="shared" si="209"/>
        <v>0</v>
      </c>
      <c r="O228" s="163">
        <f t="shared" si="209"/>
        <v>0</v>
      </c>
      <c r="P228" s="163">
        <f t="shared" si="209"/>
        <v>0</v>
      </c>
      <c r="Q228" s="163">
        <f t="shared" si="209"/>
        <v>0</v>
      </c>
      <c r="R228" s="163">
        <f t="shared" si="209"/>
        <v>0</v>
      </c>
      <c r="S228" s="163">
        <f t="shared" si="209"/>
        <v>0</v>
      </c>
      <c r="T228" s="163">
        <f t="shared" si="209"/>
        <v>0</v>
      </c>
      <c r="U228" s="163">
        <f t="shared" si="209"/>
        <v>0</v>
      </c>
      <c r="V228" s="163">
        <f t="shared" si="209"/>
        <v>0</v>
      </c>
    </row>
    <row r="229" spans="1:22" outlineLevel="2">
      <c r="E229" s="290" t="str">
        <f t="shared" ref="E229:V229" si="210" xml:space="preserve"> E$132</f>
        <v>Dummy control revenue adjustment - EAC factor adjusted</v>
      </c>
      <c r="F229" s="290">
        <f t="shared" si="210"/>
        <v>0</v>
      </c>
      <c r="G229" s="290" t="str">
        <f t="shared" si="210"/>
        <v>£m</v>
      </c>
      <c r="H229" s="290">
        <f t="shared" si="210"/>
        <v>0</v>
      </c>
      <c r="I229" s="290">
        <f t="shared" si="210"/>
        <v>0</v>
      </c>
      <c r="J229" s="303">
        <f t="shared" si="210"/>
        <v>0</v>
      </c>
      <c r="K229" s="290">
        <f t="shared" si="210"/>
        <v>0</v>
      </c>
      <c r="L229" s="290">
        <f t="shared" si="210"/>
        <v>0</v>
      </c>
      <c r="M229" s="290">
        <f t="shared" si="210"/>
        <v>0</v>
      </c>
      <c r="N229" s="290">
        <f t="shared" si="210"/>
        <v>0</v>
      </c>
      <c r="O229" s="290">
        <f t="shared" si="210"/>
        <v>0</v>
      </c>
      <c r="P229" s="290">
        <f t="shared" si="210"/>
        <v>0</v>
      </c>
      <c r="Q229" s="290">
        <f t="shared" si="210"/>
        <v>0</v>
      </c>
      <c r="R229" s="290">
        <f t="shared" si="210"/>
        <v>0</v>
      </c>
      <c r="S229" s="290">
        <f t="shared" si="210"/>
        <v>0</v>
      </c>
      <c r="T229" s="290">
        <f t="shared" si="210"/>
        <v>0</v>
      </c>
      <c r="U229" s="290">
        <f t="shared" si="210"/>
        <v>0</v>
      </c>
      <c r="V229" s="290">
        <f t="shared" si="210"/>
        <v>0</v>
      </c>
    </row>
    <row r="230" spans="1:22" outlineLevel="2">
      <c r="E230" s="163" t="str">
        <f xml:space="preserve"> E$133</f>
        <v>Residential retail revenue adjustment - EAC factor adjusted</v>
      </c>
      <c r="F230" s="163">
        <f t="shared" ref="F230:V230" si="211" xml:space="preserve"> F$133</f>
        <v>0</v>
      </c>
      <c r="G230" s="163" t="str">
        <f t="shared" si="211"/>
        <v>£m</v>
      </c>
      <c r="H230" s="163">
        <f t="shared" si="211"/>
        <v>-11.891760926665301</v>
      </c>
      <c r="I230" s="163">
        <f t="shared" si="211"/>
        <v>0</v>
      </c>
      <c r="J230" s="163">
        <f t="shared" si="211"/>
        <v>0</v>
      </c>
      <c r="K230" s="163">
        <f t="shared" si="211"/>
        <v>0</v>
      </c>
      <c r="L230" s="163">
        <f t="shared" si="211"/>
        <v>0</v>
      </c>
      <c r="M230" s="163">
        <f t="shared" si="211"/>
        <v>0</v>
      </c>
      <c r="N230" s="163">
        <f t="shared" si="211"/>
        <v>0</v>
      </c>
      <c r="O230" s="163">
        <f t="shared" si="211"/>
        <v>0</v>
      </c>
      <c r="P230" s="163">
        <f t="shared" si="211"/>
        <v>0</v>
      </c>
      <c r="Q230" s="163">
        <f t="shared" si="211"/>
        <v>0</v>
      </c>
      <c r="R230" s="163">
        <f t="shared" si="211"/>
        <v>-2.37835218533306</v>
      </c>
      <c r="S230" s="163">
        <f t="shared" si="211"/>
        <v>-2.37835218533306</v>
      </c>
      <c r="T230" s="163">
        <f t="shared" si="211"/>
        <v>-2.37835218533306</v>
      </c>
      <c r="U230" s="163">
        <f t="shared" si="211"/>
        <v>-2.37835218533306</v>
      </c>
      <c r="V230" s="163">
        <f t="shared" si="211"/>
        <v>-2.37835218533306</v>
      </c>
    </row>
    <row r="231" spans="1:22" s="265" customFormat="1" outlineLevel="2">
      <c r="A231" s="10"/>
      <c r="B231" s="10"/>
      <c r="C231" s="2"/>
      <c r="D231" s="3"/>
      <c r="E231" s="163" t="str">
        <f xml:space="preserve"> E$134</f>
        <v>Business retail revenue adjustment - EAC factor adjusted</v>
      </c>
      <c r="F231" s="163">
        <f t="shared" ref="F231:V231" si="212" xml:space="preserve"> F$134</f>
        <v>0</v>
      </c>
      <c r="G231" s="163" t="str">
        <f t="shared" si="212"/>
        <v>£m</v>
      </c>
      <c r="H231" s="163">
        <f t="shared" si="212"/>
        <v>0</v>
      </c>
      <c r="I231" s="163">
        <f t="shared" si="212"/>
        <v>0</v>
      </c>
      <c r="J231" s="163">
        <f t="shared" si="212"/>
        <v>0</v>
      </c>
      <c r="K231" s="163">
        <f t="shared" si="212"/>
        <v>0</v>
      </c>
      <c r="L231" s="163">
        <f t="shared" si="212"/>
        <v>0</v>
      </c>
      <c r="M231" s="163">
        <f t="shared" si="212"/>
        <v>0</v>
      </c>
      <c r="N231" s="163">
        <f t="shared" si="212"/>
        <v>0</v>
      </c>
      <c r="O231" s="163">
        <f t="shared" si="212"/>
        <v>0</v>
      </c>
      <c r="P231" s="163">
        <f t="shared" si="212"/>
        <v>0</v>
      </c>
      <c r="Q231" s="163">
        <f t="shared" si="212"/>
        <v>0</v>
      </c>
      <c r="R231" s="163">
        <f t="shared" si="212"/>
        <v>0</v>
      </c>
      <c r="S231" s="163">
        <f t="shared" si="212"/>
        <v>0</v>
      </c>
      <c r="T231" s="163">
        <f t="shared" si="212"/>
        <v>0</v>
      </c>
      <c r="U231" s="163">
        <f t="shared" si="212"/>
        <v>0</v>
      </c>
      <c r="V231" s="163">
        <f t="shared" si="212"/>
        <v>0</v>
      </c>
    </row>
    <row r="232" spans="1:22" ht="5.0999999999999996" customHeight="1" outlineLevel="1"/>
    <row r="233" spans="1:22" outlineLevel="1">
      <c r="E233" s="163" t="str">
        <f xml:space="preserve"> E$182</f>
        <v>Water resources revenue adjustment - NPV adjusted</v>
      </c>
      <c r="F233" s="163">
        <f t="shared" ref="F233:V233" si="213" xml:space="preserve"> F$182</f>
        <v>0</v>
      </c>
      <c r="G233" s="163" t="str">
        <f t="shared" si="213"/>
        <v>£m</v>
      </c>
      <c r="H233" s="163">
        <f t="shared" si="213"/>
        <v>1.5480488229920566</v>
      </c>
      <c r="I233" s="163">
        <f t="shared" si="213"/>
        <v>0</v>
      </c>
      <c r="J233" s="163">
        <f t="shared" si="213"/>
        <v>0</v>
      </c>
      <c r="K233" s="163">
        <f t="shared" si="213"/>
        <v>0</v>
      </c>
      <c r="L233" s="163">
        <f t="shared" si="213"/>
        <v>0</v>
      </c>
      <c r="M233" s="163">
        <f t="shared" si="213"/>
        <v>0</v>
      </c>
      <c r="N233" s="163">
        <f t="shared" si="213"/>
        <v>0</v>
      </c>
      <c r="O233" s="163">
        <f t="shared" si="213"/>
        <v>0</v>
      </c>
      <c r="P233" s="163">
        <f t="shared" si="213"/>
        <v>0</v>
      </c>
      <c r="Q233" s="163">
        <f t="shared" si="213"/>
        <v>0</v>
      </c>
      <c r="R233" s="163">
        <f t="shared" si="213"/>
        <v>0.2910477817961743</v>
      </c>
      <c r="S233" s="163">
        <f t="shared" si="213"/>
        <v>0.30004115825367605</v>
      </c>
      <c r="T233" s="163">
        <f t="shared" si="213"/>
        <v>0.30931243004371467</v>
      </c>
      <c r="U233" s="163">
        <f t="shared" si="213"/>
        <v>0.31889677133216382</v>
      </c>
      <c r="V233" s="163">
        <f t="shared" si="213"/>
        <v>0.3287506815663277</v>
      </c>
    </row>
    <row r="234" spans="1:22" outlineLevel="2">
      <c r="E234" s="163" t="str">
        <f xml:space="preserve"> E$183</f>
        <v>Water network revenue adjustment - NPV adjusted</v>
      </c>
      <c r="F234" s="163">
        <f t="shared" ref="F234:V234" si="214" xml:space="preserve"> F$183</f>
        <v>0</v>
      </c>
      <c r="G234" s="163" t="str">
        <f t="shared" si="214"/>
        <v>£m</v>
      </c>
      <c r="H234" s="163">
        <f t="shared" si="214"/>
        <v>-4.2084508071144269</v>
      </c>
      <c r="I234" s="163">
        <f t="shared" si="214"/>
        <v>0</v>
      </c>
      <c r="J234" s="163">
        <f t="shared" si="214"/>
        <v>0</v>
      </c>
      <c r="K234" s="163">
        <f t="shared" si="214"/>
        <v>0</v>
      </c>
      <c r="L234" s="163">
        <f t="shared" si="214"/>
        <v>0</v>
      </c>
      <c r="M234" s="163">
        <f t="shared" si="214"/>
        <v>0</v>
      </c>
      <c r="N234" s="163">
        <f t="shared" si="214"/>
        <v>0</v>
      </c>
      <c r="O234" s="163">
        <f t="shared" si="214"/>
        <v>0</v>
      </c>
      <c r="P234" s="163">
        <f t="shared" si="214"/>
        <v>0</v>
      </c>
      <c r="Q234" s="163">
        <f t="shared" si="214"/>
        <v>0</v>
      </c>
      <c r="R234" s="163">
        <f t="shared" si="214"/>
        <v>-0.79122845094870653</v>
      </c>
      <c r="S234" s="163">
        <f t="shared" si="214"/>
        <v>-0.81567741008302153</v>
      </c>
      <c r="T234" s="163">
        <f t="shared" si="214"/>
        <v>-0.84088184205458683</v>
      </c>
      <c r="U234" s="163">
        <f t="shared" si="214"/>
        <v>-0.86693736965291823</v>
      </c>
      <c r="V234" s="163">
        <f t="shared" si="214"/>
        <v>-0.89372573437519354</v>
      </c>
    </row>
    <row r="235" spans="1:22" s="265" customFormat="1" outlineLevel="2">
      <c r="A235" s="10"/>
      <c r="B235" s="10"/>
      <c r="C235" s="2"/>
      <c r="D235" s="3"/>
      <c r="E235" s="163" t="str">
        <f xml:space="preserve"> E$184</f>
        <v>Bioresources revenue adjustment - NPV adjusted</v>
      </c>
      <c r="F235" s="163">
        <f t="shared" ref="F235:V235" si="215" xml:space="preserve"> F$184</f>
        <v>0</v>
      </c>
      <c r="G235" s="163" t="str">
        <f t="shared" si="215"/>
        <v>£m</v>
      </c>
      <c r="H235" s="163">
        <f t="shared" si="215"/>
        <v>0</v>
      </c>
      <c r="I235" s="163">
        <f t="shared" si="215"/>
        <v>0</v>
      </c>
      <c r="J235" s="163">
        <f t="shared" si="215"/>
        <v>0</v>
      </c>
      <c r="K235" s="163">
        <f t="shared" si="215"/>
        <v>0</v>
      </c>
      <c r="L235" s="163">
        <f t="shared" si="215"/>
        <v>0</v>
      </c>
      <c r="M235" s="163">
        <f t="shared" si="215"/>
        <v>0</v>
      </c>
      <c r="N235" s="163">
        <f t="shared" si="215"/>
        <v>0</v>
      </c>
      <c r="O235" s="163">
        <f t="shared" si="215"/>
        <v>0</v>
      </c>
      <c r="P235" s="163">
        <f t="shared" si="215"/>
        <v>0</v>
      </c>
      <c r="Q235" s="163">
        <f t="shared" si="215"/>
        <v>0</v>
      </c>
      <c r="R235" s="163">
        <f t="shared" si="215"/>
        <v>0</v>
      </c>
      <c r="S235" s="163">
        <f t="shared" si="215"/>
        <v>0</v>
      </c>
      <c r="T235" s="163">
        <f t="shared" si="215"/>
        <v>0</v>
      </c>
      <c r="U235" s="163">
        <f t="shared" si="215"/>
        <v>0</v>
      </c>
      <c r="V235" s="163">
        <f t="shared" si="215"/>
        <v>0</v>
      </c>
    </row>
    <row r="236" spans="1:22" outlineLevel="2">
      <c r="E236" s="163" t="str">
        <f xml:space="preserve"> E$185</f>
        <v>Wastewater network revenue adjustment - NPV adjusted</v>
      </c>
      <c r="F236" s="163">
        <f t="shared" ref="F236:V236" si="216" xml:space="preserve"> F$185</f>
        <v>0</v>
      </c>
      <c r="G236" s="163" t="str">
        <f t="shared" si="216"/>
        <v>£m</v>
      </c>
      <c r="H236" s="163">
        <f t="shared" si="216"/>
        <v>0</v>
      </c>
      <c r="I236" s="163">
        <f t="shared" si="216"/>
        <v>0</v>
      </c>
      <c r="J236" s="163">
        <f t="shared" si="216"/>
        <v>0</v>
      </c>
      <c r="K236" s="163">
        <f t="shared" si="216"/>
        <v>0</v>
      </c>
      <c r="L236" s="163">
        <f t="shared" si="216"/>
        <v>0</v>
      </c>
      <c r="M236" s="163">
        <f t="shared" si="216"/>
        <v>0</v>
      </c>
      <c r="N236" s="163">
        <f t="shared" si="216"/>
        <v>0</v>
      </c>
      <c r="O236" s="163">
        <f t="shared" si="216"/>
        <v>0</v>
      </c>
      <c r="P236" s="163">
        <f t="shared" si="216"/>
        <v>0</v>
      </c>
      <c r="Q236" s="163">
        <f t="shared" si="216"/>
        <v>0</v>
      </c>
      <c r="R236" s="163">
        <f t="shared" si="216"/>
        <v>0</v>
      </c>
      <c r="S236" s="163">
        <f t="shared" si="216"/>
        <v>0</v>
      </c>
      <c r="T236" s="163">
        <f t="shared" si="216"/>
        <v>0</v>
      </c>
      <c r="U236" s="163">
        <f t="shared" si="216"/>
        <v>0</v>
      </c>
      <c r="V236" s="163">
        <f t="shared" si="216"/>
        <v>0</v>
      </c>
    </row>
    <row r="237" spans="1:22" outlineLevel="2">
      <c r="E237" s="290" t="str">
        <f t="shared" ref="E237:V237" si="217" xml:space="preserve"> E$186</f>
        <v>Dummy control revenue adjustment - NPV adjusted</v>
      </c>
      <c r="F237" s="290">
        <f t="shared" si="217"/>
        <v>0</v>
      </c>
      <c r="G237" s="290" t="str">
        <f t="shared" si="217"/>
        <v>£m</v>
      </c>
      <c r="H237" s="290">
        <f t="shared" si="217"/>
        <v>0</v>
      </c>
      <c r="I237" s="290">
        <f t="shared" si="217"/>
        <v>0</v>
      </c>
      <c r="J237" s="303">
        <f t="shared" si="217"/>
        <v>0</v>
      </c>
      <c r="K237" s="290">
        <f t="shared" si="217"/>
        <v>0</v>
      </c>
      <c r="L237" s="290">
        <f t="shared" si="217"/>
        <v>0</v>
      </c>
      <c r="M237" s="290">
        <f t="shared" si="217"/>
        <v>0</v>
      </c>
      <c r="N237" s="290">
        <f t="shared" si="217"/>
        <v>0</v>
      </c>
      <c r="O237" s="290">
        <f t="shared" si="217"/>
        <v>0</v>
      </c>
      <c r="P237" s="290">
        <f t="shared" si="217"/>
        <v>0</v>
      </c>
      <c r="Q237" s="290">
        <f t="shared" si="217"/>
        <v>0</v>
      </c>
      <c r="R237" s="290">
        <f t="shared" si="217"/>
        <v>0</v>
      </c>
      <c r="S237" s="290">
        <f t="shared" si="217"/>
        <v>0</v>
      </c>
      <c r="T237" s="290">
        <f t="shared" si="217"/>
        <v>0</v>
      </c>
      <c r="U237" s="290">
        <f t="shared" si="217"/>
        <v>0</v>
      </c>
      <c r="V237" s="290">
        <f t="shared" si="217"/>
        <v>0</v>
      </c>
    </row>
    <row r="238" spans="1:22" outlineLevel="2">
      <c r="E238" s="163" t="str">
        <f xml:space="preserve"> E$187</f>
        <v>Residential retail revenue adjustment - NPV adjusted</v>
      </c>
      <c r="F238" s="163">
        <f t="shared" ref="F238:V238" si="218" xml:space="preserve"> F$187</f>
        <v>0</v>
      </c>
      <c r="G238" s="163" t="str">
        <f t="shared" si="218"/>
        <v>£m</v>
      </c>
      <c r="H238" s="163">
        <f t="shared" si="218"/>
        <v>-11.913839566883787</v>
      </c>
      <c r="I238" s="163">
        <f t="shared" si="218"/>
        <v>0</v>
      </c>
      <c r="J238" s="163">
        <f t="shared" si="218"/>
        <v>0</v>
      </c>
      <c r="K238" s="163">
        <f t="shared" si="218"/>
        <v>0</v>
      </c>
      <c r="L238" s="163">
        <f t="shared" si="218"/>
        <v>0</v>
      </c>
      <c r="M238" s="163">
        <f t="shared" si="218"/>
        <v>0</v>
      </c>
      <c r="N238" s="163">
        <f t="shared" si="218"/>
        <v>0</v>
      </c>
      <c r="O238" s="163">
        <f t="shared" si="218"/>
        <v>0</v>
      </c>
      <c r="P238" s="163">
        <f t="shared" si="218"/>
        <v>0</v>
      </c>
      <c r="Q238" s="163">
        <f t="shared" si="218"/>
        <v>0</v>
      </c>
      <c r="R238" s="163">
        <f t="shared" si="218"/>
        <v>-2.2399142243557089</v>
      </c>
      <c r="S238" s="163">
        <f t="shared" si="218"/>
        <v>-2.3091275738883001</v>
      </c>
      <c r="T238" s="163">
        <f t="shared" si="218"/>
        <v>-2.3804796159214487</v>
      </c>
      <c r="U238" s="163">
        <f t="shared" si="218"/>
        <v>-2.4542410521041558</v>
      </c>
      <c r="V238" s="163">
        <f t="shared" si="218"/>
        <v>-2.5300771006141742</v>
      </c>
    </row>
    <row r="239" spans="1:22" s="265" customFormat="1" outlineLevel="2">
      <c r="A239" s="10"/>
      <c r="B239" s="10"/>
      <c r="C239" s="2"/>
      <c r="D239" s="3"/>
      <c r="E239" s="163" t="str">
        <f xml:space="preserve"> E$188</f>
        <v>Business retail revenue adjustment - NPV adjusted</v>
      </c>
      <c r="F239" s="163">
        <f t="shared" ref="F239:V239" si="219" xml:space="preserve"> F$188</f>
        <v>0</v>
      </c>
      <c r="G239" s="163" t="str">
        <f t="shared" si="219"/>
        <v>£m</v>
      </c>
      <c r="H239" s="163">
        <f t="shared" si="219"/>
        <v>0</v>
      </c>
      <c r="I239" s="163">
        <f t="shared" si="219"/>
        <v>0</v>
      </c>
      <c r="J239" s="163">
        <f t="shared" si="219"/>
        <v>0</v>
      </c>
      <c r="K239" s="163">
        <f t="shared" si="219"/>
        <v>0</v>
      </c>
      <c r="L239" s="163">
        <f t="shared" si="219"/>
        <v>0</v>
      </c>
      <c r="M239" s="163">
        <f t="shared" si="219"/>
        <v>0</v>
      </c>
      <c r="N239" s="163">
        <f t="shared" si="219"/>
        <v>0</v>
      </c>
      <c r="O239" s="163">
        <f t="shared" si="219"/>
        <v>0</v>
      </c>
      <c r="P239" s="163">
        <f t="shared" si="219"/>
        <v>0</v>
      </c>
      <c r="Q239" s="163">
        <f t="shared" si="219"/>
        <v>0</v>
      </c>
      <c r="R239" s="163">
        <f t="shared" si="219"/>
        <v>0</v>
      </c>
      <c r="S239" s="163">
        <f t="shared" si="219"/>
        <v>0</v>
      </c>
      <c r="T239" s="163">
        <f t="shared" si="219"/>
        <v>0</v>
      </c>
      <c r="U239" s="163">
        <f t="shared" si="219"/>
        <v>0</v>
      </c>
      <c r="V239" s="163">
        <f t="shared" si="219"/>
        <v>0</v>
      </c>
    </row>
    <row r="240" spans="1:22" ht="5.0999999999999996" customHeight="1" outlineLevel="1"/>
    <row r="241" spans="1:22" s="214" customFormat="1" outlineLevel="1">
      <c r="A241" s="191" t="s">
        <v>851</v>
      </c>
      <c r="B241" s="266"/>
      <c r="C241" s="267"/>
      <c r="D241" s="191"/>
      <c r="E241" s="363" t="s">
        <v>369</v>
      </c>
      <c r="F241" s="191"/>
      <c r="G241" s="191" t="s">
        <v>174</v>
      </c>
      <c r="H241" s="191">
        <f t="shared" ref="H241:H247" si="220" xml:space="preserve"> SUM(J241:V241)</f>
        <v>1.5480488229920566</v>
      </c>
      <c r="I241" s="191"/>
      <c r="J241" s="191">
        <f xml:space="preserve"> IF($F209 = 0, J217, IF($F209 = 1, J225, J233))</f>
        <v>0</v>
      </c>
      <c r="K241" s="191">
        <f t="shared" ref="K241:V241" si="221" xml:space="preserve"> IF($F209 = 0, K217, IF($F209 = 1, K225, K233))</f>
        <v>0</v>
      </c>
      <c r="L241" s="191">
        <f t="shared" si="221"/>
        <v>0</v>
      </c>
      <c r="M241" s="191">
        <f t="shared" si="221"/>
        <v>0</v>
      </c>
      <c r="N241" s="191">
        <f t="shared" si="221"/>
        <v>0</v>
      </c>
      <c r="O241" s="191">
        <f t="shared" si="221"/>
        <v>0</v>
      </c>
      <c r="P241" s="191">
        <f t="shared" si="221"/>
        <v>0</v>
      </c>
      <c r="Q241" s="191">
        <f t="shared" si="221"/>
        <v>0</v>
      </c>
      <c r="R241" s="191">
        <f t="shared" si="221"/>
        <v>0.2910477817961743</v>
      </c>
      <c r="S241" s="191">
        <f t="shared" si="221"/>
        <v>0.30004115825367605</v>
      </c>
      <c r="T241" s="191">
        <f t="shared" si="221"/>
        <v>0.30931243004371467</v>
      </c>
      <c r="U241" s="191">
        <f t="shared" si="221"/>
        <v>0.31889677133216382</v>
      </c>
      <c r="V241" s="191">
        <f t="shared" si="221"/>
        <v>0.3287506815663277</v>
      </c>
    </row>
    <row r="242" spans="1:22" s="214" customFormat="1" outlineLevel="2">
      <c r="A242" s="191" t="s">
        <v>852</v>
      </c>
      <c r="B242" s="266"/>
      <c r="C242" s="267"/>
      <c r="D242" s="191"/>
      <c r="E242" s="191" t="s">
        <v>371</v>
      </c>
      <c r="F242" s="191"/>
      <c r="G242" s="191" t="s">
        <v>174</v>
      </c>
      <c r="H242" s="191">
        <f t="shared" si="220"/>
        <v>-4.2084508071144269</v>
      </c>
      <c r="I242" s="191"/>
      <c r="J242" s="363">
        <f t="shared" ref="J242:V242" si="222" xml:space="preserve"> IF($F210 = 0, J218, IF($F210 = 1, J226, J234))</f>
        <v>0</v>
      </c>
      <c r="K242" s="191">
        <f t="shared" si="222"/>
        <v>0</v>
      </c>
      <c r="L242" s="191">
        <f t="shared" si="222"/>
        <v>0</v>
      </c>
      <c r="M242" s="191">
        <f t="shared" si="222"/>
        <v>0</v>
      </c>
      <c r="N242" s="191">
        <f t="shared" si="222"/>
        <v>0</v>
      </c>
      <c r="O242" s="191">
        <f t="shared" si="222"/>
        <v>0</v>
      </c>
      <c r="P242" s="191">
        <f t="shared" si="222"/>
        <v>0</v>
      </c>
      <c r="Q242" s="191">
        <f t="shared" si="222"/>
        <v>0</v>
      </c>
      <c r="R242" s="191">
        <f t="shared" si="222"/>
        <v>-0.79122845094870653</v>
      </c>
      <c r="S242" s="191">
        <f t="shared" si="222"/>
        <v>-0.81567741008302153</v>
      </c>
      <c r="T242" s="191">
        <f t="shared" si="222"/>
        <v>-0.84088184205458683</v>
      </c>
      <c r="U242" s="191">
        <f t="shared" si="222"/>
        <v>-0.86693736965291823</v>
      </c>
      <c r="V242" s="191">
        <f t="shared" si="222"/>
        <v>-0.89372573437519354</v>
      </c>
    </row>
    <row r="243" spans="1:22" s="214" customFormat="1" outlineLevel="2">
      <c r="A243" s="191" t="s">
        <v>853</v>
      </c>
      <c r="B243" s="266"/>
      <c r="C243" s="267"/>
      <c r="D243" s="191"/>
      <c r="E243" s="363" t="s">
        <v>373</v>
      </c>
      <c r="F243" s="191"/>
      <c r="G243" s="191" t="s">
        <v>174</v>
      </c>
      <c r="H243" s="191">
        <f t="shared" si="220"/>
        <v>0</v>
      </c>
      <c r="I243" s="191"/>
      <c r="J243" s="191">
        <f t="shared" ref="J243:V243" si="223" xml:space="preserve"> IF($F211 = 0, J219, IF($F211 = 1, J227, J235))</f>
        <v>0</v>
      </c>
      <c r="K243" s="191">
        <f t="shared" si="223"/>
        <v>0</v>
      </c>
      <c r="L243" s="191">
        <f t="shared" si="223"/>
        <v>0</v>
      </c>
      <c r="M243" s="191">
        <f t="shared" si="223"/>
        <v>0</v>
      </c>
      <c r="N243" s="191">
        <f t="shared" si="223"/>
        <v>0</v>
      </c>
      <c r="O243" s="191">
        <f t="shared" si="223"/>
        <v>0</v>
      </c>
      <c r="P243" s="191">
        <f t="shared" si="223"/>
        <v>0</v>
      </c>
      <c r="Q243" s="191">
        <f t="shared" si="223"/>
        <v>0</v>
      </c>
      <c r="R243" s="191">
        <f t="shared" si="223"/>
        <v>0</v>
      </c>
      <c r="S243" s="191">
        <f t="shared" si="223"/>
        <v>0</v>
      </c>
      <c r="T243" s="191">
        <f t="shared" si="223"/>
        <v>0</v>
      </c>
      <c r="U243" s="191">
        <f t="shared" si="223"/>
        <v>0</v>
      </c>
      <c r="V243" s="191">
        <f t="shared" si="223"/>
        <v>0</v>
      </c>
    </row>
    <row r="244" spans="1:22" s="214" customFormat="1" outlineLevel="2">
      <c r="A244" s="191" t="s">
        <v>854</v>
      </c>
      <c r="B244" s="266"/>
      <c r="C244" s="267"/>
      <c r="D244" s="191"/>
      <c r="E244" s="363" t="s">
        <v>375</v>
      </c>
      <c r="F244" s="191"/>
      <c r="G244" s="191" t="s">
        <v>174</v>
      </c>
      <c r="H244" s="191">
        <f t="shared" si="220"/>
        <v>0</v>
      </c>
      <c r="I244" s="191"/>
      <c r="J244" s="191">
        <f t="shared" ref="J244:P245" si="224" xml:space="preserve"> IF($F212 = 0, J220, IF($F212 = 1, J228, J236))</f>
        <v>0</v>
      </c>
      <c r="K244" s="191">
        <f t="shared" si="224"/>
        <v>0</v>
      </c>
      <c r="L244" s="191">
        <f t="shared" si="224"/>
        <v>0</v>
      </c>
      <c r="M244" s="191">
        <f t="shared" si="224"/>
        <v>0</v>
      </c>
      <c r="N244" s="191">
        <f t="shared" si="224"/>
        <v>0</v>
      </c>
      <c r="O244" s="191">
        <f t="shared" si="224"/>
        <v>0</v>
      </c>
      <c r="P244" s="191">
        <f t="shared" si="224"/>
        <v>0</v>
      </c>
      <c r="Q244" s="191">
        <f t="shared" ref="Q244:V245" si="225" xml:space="preserve"> IF($F212 = 0, Q220, IF($F212 = 1, Q228, Q236))</f>
        <v>0</v>
      </c>
      <c r="R244" s="191">
        <f t="shared" si="225"/>
        <v>0</v>
      </c>
      <c r="S244" s="191">
        <f t="shared" si="225"/>
        <v>0</v>
      </c>
      <c r="T244" s="191">
        <f t="shared" si="225"/>
        <v>0</v>
      </c>
      <c r="U244" s="191">
        <f t="shared" si="225"/>
        <v>0</v>
      </c>
      <c r="V244" s="191">
        <f t="shared" si="225"/>
        <v>0</v>
      </c>
    </row>
    <row r="245" spans="1:22" s="214" customFormat="1" outlineLevel="2">
      <c r="A245" s="191" t="s">
        <v>855</v>
      </c>
      <c r="B245" s="266"/>
      <c r="C245" s="267"/>
      <c r="D245" s="191"/>
      <c r="E245" s="288" t="s">
        <v>377</v>
      </c>
      <c r="F245" s="288"/>
      <c r="G245" s="288" t="s">
        <v>174</v>
      </c>
      <c r="H245" s="288">
        <f xml:space="preserve"> SUM(J245:V245)</f>
        <v>0</v>
      </c>
      <c r="I245" s="288"/>
      <c r="J245" s="298">
        <f xml:space="preserve"> IF($F213 = 0, J221, IF($F213 = 1, J229, J237))</f>
        <v>0</v>
      </c>
      <c r="K245" s="288">
        <f t="shared" si="224"/>
        <v>0</v>
      </c>
      <c r="L245" s="288">
        <f t="shared" si="224"/>
        <v>0</v>
      </c>
      <c r="M245" s="288">
        <f t="shared" si="224"/>
        <v>0</v>
      </c>
      <c r="N245" s="288">
        <f t="shared" si="224"/>
        <v>0</v>
      </c>
      <c r="O245" s="288">
        <f t="shared" si="224"/>
        <v>0</v>
      </c>
      <c r="P245" s="288">
        <f t="shared" si="224"/>
        <v>0</v>
      </c>
      <c r="Q245" s="288">
        <f t="shared" si="225"/>
        <v>0</v>
      </c>
      <c r="R245" s="288">
        <f t="shared" si="225"/>
        <v>0</v>
      </c>
      <c r="S245" s="288">
        <f t="shared" si="225"/>
        <v>0</v>
      </c>
      <c r="T245" s="288">
        <f t="shared" si="225"/>
        <v>0</v>
      </c>
      <c r="U245" s="288">
        <f t="shared" si="225"/>
        <v>0</v>
      </c>
      <c r="V245" s="288">
        <f t="shared" si="225"/>
        <v>0</v>
      </c>
    </row>
    <row r="246" spans="1:22" s="214" customFormat="1" outlineLevel="2">
      <c r="A246" s="191" t="s">
        <v>856</v>
      </c>
      <c r="B246" s="266"/>
      <c r="C246" s="267"/>
      <c r="D246" s="191"/>
      <c r="E246" s="191" t="s">
        <v>379</v>
      </c>
      <c r="F246" s="191"/>
      <c r="G246" s="191" t="s">
        <v>174</v>
      </c>
      <c r="H246" s="191">
        <f xml:space="preserve"> SUM(J246:V246)</f>
        <v>-11.913839566883787</v>
      </c>
      <c r="I246" s="191"/>
      <c r="J246" s="363">
        <f xml:space="preserve"> IF($F214 = 0, J222, IF($F214 = 1, J230, J238))</f>
        <v>0</v>
      </c>
      <c r="K246" s="191">
        <f t="shared" ref="K246:V246" si="226" xml:space="preserve"> IF($F214 = 0, K222, IF($F214 = 1, K230, K238))</f>
        <v>0</v>
      </c>
      <c r="L246" s="191">
        <f t="shared" si="226"/>
        <v>0</v>
      </c>
      <c r="M246" s="191">
        <f t="shared" si="226"/>
        <v>0</v>
      </c>
      <c r="N246" s="191">
        <f t="shared" si="226"/>
        <v>0</v>
      </c>
      <c r="O246" s="191">
        <f t="shared" si="226"/>
        <v>0</v>
      </c>
      <c r="P246" s="191">
        <f t="shared" si="226"/>
        <v>0</v>
      </c>
      <c r="Q246" s="191">
        <f t="shared" si="226"/>
        <v>0</v>
      </c>
      <c r="R246" s="191">
        <f t="shared" si="226"/>
        <v>-2.2399142243557089</v>
      </c>
      <c r="S246" s="191">
        <f t="shared" si="226"/>
        <v>-2.3091275738883001</v>
      </c>
      <c r="T246" s="191">
        <f t="shared" si="226"/>
        <v>-2.3804796159214487</v>
      </c>
      <c r="U246" s="191">
        <f t="shared" si="226"/>
        <v>-2.4542410521041558</v>
      </c>
      <c r="V246" s="191">
        <f t="shared" si="226"/>
        <v>-2.5300771006141742</v>
      </c>
    </row>
    <row r="247" spans="1:22" s="214" customFormat="1" outlineLevel="2">
      <c r="A247" s="191" t="s">
        <v>857</v>
      </c>
      <c r="B247" s="266"/>
      <c r="C247" s="267"/>
      <c r="D247" s="191"/>
      <c r="E247" s="191" t="s">
        <v>381</v>
      </c>
      <c r="F247" s="191"/>
      <c r="G247" s="191" t="s">
        <v>174</v>
      </c>
      <c r="H247" s="191">
        <f t="shared" si="220"/>
        <v>0</v>
      </c>
      <c r="I247" s="191"/>
      <c r="J247" s="191">
        <f xml:space="preserve"> IF($F215 = 0, J223, IF($F215 = 1, J231, J239))</f>
        <v>0</v>
      </c>
      <c r="K247" s="191">
        <f t="shared" ref="K247:V247" si="227" xml:space="preserve"> IF($F215 = 0, K223, IF($F215 = 1, K231, K239))</f>
        <v>0</v>
      </c>
      <c r="L247" s="191">
        <f t="shared" si="227"/>
        <v>0</v>
      </c>
      <c r="M247" s="191">
        <f t="shared" si="227"/>
        <v>0</v>
      </c>
      <c r="N247" s="191">
        <f t="shared" si="227"/>
        <v>0</v>
      </c>
      <c r="O247" s="191">
        <f t="shared" si="227"/>
        <v>0</v>
      </c>
      <c r="P247" s="191">
        <f t="shared" si="227"/>
        <v>0</v>
      </c>
      <c r="Q247" s="191">
        <f t="shared" si="227"/>
        <v>0</v>
      </c>
      <c r="R247" s="191">
        <f t="shared" si="227"/>
        <v>0</v>
      </c>
      <c r="S247" s="191">
        <f t="shared" si="227"/>
        <v>0</v>
      </c>
      <c r="T247" s="191">
        <f t="shared" si="227"/>
        <v>0</v>
      </c>
      <c r="U247" s="191">
        <f t="shared" si="227"/>
        <v>0</v>
      </c>
      <c r="V247" s="191">
        <f t="shared" si="227"/>
        <v>0</v>
      </c>
    </row>
    <row r="248" spans="1:22" ht="5.0999999999999996" customHeight="1" outlineLevel="2"/>
  </sheetData>
  <conditionalFormatting sqref="F1">
    <cfRule type="expression" dxfId="21" priority="3">
      <formula xml:space="preserve"> $F$1 = "Notionalised"</formula>
    </cfRule>
  </conditionalFormatting>
  <conditionalFormatting sqref="G1">
    <cfRule type="expression" dxfId="20" priority="2">
      <formula xml:space="preserve"> $F$1 = "Notionalised"</formula>
    </cfRule>
  </conditionalFormatting>
  <conditionalFormatting sqref="F2">
    <cfRule type="cellIs" dxfId="1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B2A8A060-9493-4D8A-AF86-CDE25BF399C3}">
            <xm:f>Inputs!$F$21</xm:f>
            <x14:dxf>
              <fill>
                <patternFill>
                  <bgColor indexed="44"/>
                </patternFill>
              </fill>
            </x14:dxf>
          </x14:cfRule>
          <x14:cfRule type="cellIs" priority="5" stopIfTrue="1" operator="equal" id="{ECBD3ABB-9028-4C27-B8AC-D0528CB5041C}">
            <xm:f>Inputs!$F$20</xm:f>
            <x14:dxf>
              <fill>
                <patternFill>
                  <bgColor indexed="47"/>
                </patternFill>
              </fill>
            </x14:dxf>
          </x14:cfRule>
          <xm:sqref>J3:V3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V138"/>
  <sheetViews>
    <sheetView showGridLines="0" zoomScale="85" zoomScaleNormal="85" workbookViewId="0">
      <pane xSplit="9" ySplit="5" topLeftCell="J19" activePane="bottomRight" state="frozen"/>
      <selection pane="bottomRight" activeCell="S61" sqref="S61:T62"/>
      <selection pane="bottomLeft" activeCell="F2" sqref="F2"/>
      <selection pane="topRight" activeCell="F2" sqref="F2"/>
    </sheetView>
  </sheetViews>
  <sheetFormatPr defaultColWidth="0" defaultRowHeight="12.75"/>
  <cols>
    <col min="1" max="1" width="9.140625" customWidth="1"/>
    <col min="2" max="4" width="2.5703125" customWidth="1"/>
    <col min="5" max="5" width="89.28515625" customWidth="1"/>
    <col min="6" max="7" width="9.140625" customWidth="1"/>
    <col min="8" max="8" width="8.42578125" customWidth="1"/>
    <col min="9" max="9" width="3.140625" customWidth="1"/>
    <col min="10" max="22" width="12.7109375" customWidth="1"/>
    <col min="23" max="16384" width="9.140625" hidden="1"/>
  </cols>
  <sheetData>
    <row r="1" spans="1:22" ht="26.25">
      <c r="A1" s="26" t="e">
        <f ca="1" xml:space="preserve"> RIGHT(CELL("filename", $A$1), LEN(CELL("filename", $A$1)) - SEARCH("]", CELL("filename", $A$1)))</f>
        <v>#VALUE!</v>
      </c>
    </row>
    <row r="2" spans="1:22">
      <c r="E2" s="3" t="str">
        <f xml:space="preserve"> Time!E$25</f>
        <v>Model period ending</v>
      </c>
      <c r="F2" s="134">
        <f>Checks!F$11</f>
        <v>1</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c r="E5" s="3" t="str">
        <f xml:space="preserve"> Time!E$10</f>
        <v>Model column counter</v>
      </c>
      <c r="F5" t="s">
        <v>538</v>
      </c>
      <c r="G5" t="s">
        <v>105</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 r="A7" s="39" t="s">
        <v>858</v>
      </c>
      <c r="B7" s="39"/>
      <c r="C7" s="40"/>
      <c r="D7" s="39"/>
      <c r="E7" s="39"/>
      <c r="F7" s="39"/>
      <c r="G7" s="39"/>
      <c r="H7" s="39"/>
      <c r="I7" s="39"/>
      <c r="J7" s="39"/>
      <c r="K7" s="39"/>
      <c r="L7" s="39"/>
      <c r="M7" s="39"/>
      <c r="N7" s="39"/>
      <c r="O7" s="39"/>
      <c r="P7" s="39"/>
      <c r="Q7" s="39"/>
      <c r="R7" s="39"/>
      <c r="S7" s="39"/>
      <c r="T7" s="39"/>
      <c r="U7" s="39"/>
      <c r="V7" s="39"/>
    </row>
    <row r="9" spans="1:22">
      <c r="A9" s="384"/>
      <c r="E9" s="355" t="str">
        <f xml:space="preserve"> Calc!E$188</f>
        <v>Water resources revenue adjustment</v>
      </c>
      <c r="F9" s="382">
        <f xml:space="preserve"> Calc!F$188</f>
        <v>1.4552389089808715</v>
      </c>
      <c r="G9" s="378" t="str">
        <f xml:space="preserve"> Calc!G$188</f>
        <v>£m</v>
      </c>
      <c r="H9" s="378">
        <f xml:space="preserve"> Calc!H$188</f>
        <v>0</v>
      </c>
      <c r="I9" s="378">
        <f xml:space="preserve"> Calc!I$188</f>
        <v>0</v>
      </c>
      <c r="J9" s="378">
        <f xml:space="preserve"> Calc!J$188</f>
        <v>0</v>
      </c>
      <c r="K9" s="378">
        <f xml:space="preserve"> Calc!K$188</f>
        <v>0</v>
      </c>
      <c r="L9" s="378">
        <f xml:space="preserve"> Calc!L$188</f>
        <v>0</v>
      </c>
      <c r="M9" s="378">
        <f xml:space="preserve"> Calc!M$188</f>
        <v>0</v>
      </c>
      <c r="N9" s="378">
        <f xml:space="preserve"> Calc!N$188</f>
        <v>0</v>
      </c>
      <c r="O9" s="378">
        <f xml:space="preserve"> Calc!O$188</f>
        <v>0</v>
      </c>
      <c r="P9" s="378">
        <f xml:space="preserve"> Calc!P$188</f>
        <v>0</v>
      </c>
      <c r="Q9" s="378">
        <f xml:space="preserve"> Calc!Q$188</f>
        <v>0</v>
      </c>
      <c r="R9" s="378">
        <f xml:space="preserve"> Calc!R$188</f>
        <v>0</v>
      </c>
      <c r="S9" s="378">
        <f xml:space="preserve"> Calc!S$188</f>
        <v>0</v>
      </c>
      <c r="T9" s="378">
        <f xml:space="preserve"> Calc!T$188</f>
        <v>0</v>
      </c>
      <c r="U9" s="378">
        <f xml:space="preserve"> Calc!U$188</f>
        <v>0</v>
      </c>
      <c r="V9" s="378">
        <f xml:space="preserve"> Calc!V$188</f>
        <v>0</v>
      </c>
    </row>
    <row r="10" spans="1:22">
      <c r="A10" s="12"/>
      <c r="E10" s="355" t="str">
        <f xml:space="preserve"> Profiling!E$241</f>
        <v>Water resources revenue adjustment active</v>
      </c>
      <c r="F10" s="378">
        <f xml:space="preserve"> Profiling!F$241</f>
        <v>0</v>
      </c>
      <c r="G10" s="378" t="str">
        <f xml:space="preserve"> Profiling!G$241</f>
        <v>£m</v>
      </c>
      <c r="H10" s="378">
        <f xml:space="preserve"> Profiling!H$241</f>
        <v>1.5480488229920566</v>
      </c>
      <c r="I10" s="378">
        <f xml:space="preserve"> Profiling!I$241</f>
        <v>0</v>
      </c>
      <c r="J10" s="382">
        <f xml:space="preserve"> Profiling!J$241</f>
        <v>0</v>
      </c>
      <c r="K10" s="378">
        <f xml:space="preserve"> Profiling!K$241</f>
        <v>0</v>
      </c>
      <c r="L10" s="378">
        <f xml:space="preserve"> Profiling!L$241</f>
        <v>0</v>
      </c>
      <c r="M10" s="378">
        <f xml:space="preserve"> Profiling!M$241</f>
        <v>0</v>
      </c>
      <c r="N10" s="378">
        <f xml:space="preserve"> Profiling!N$241</f>
        <v>0</v>
      </c>
      <c r="O10" s="378">
        <f xml:space="preserve"> Profiling!O$241</f>
        <v>0</v>
      </c>
      <c r="P10" s="378">
        <f xml:space="preserve"> Profiling!P$241</f>
        <v>0</v>
      </c>
      <c r="Q10" s="378">
        <f xml:space="preserve"> Profiling!Q$241</f>
        <v>0</v>
      </c>
      <c r="R10" s="378">
        <f xml:space="preserve"> Profiling!R$241</f>
        <v>0.2910477817961743</v>
      </c>
      <c r="S10" s="378">
        <f xml:space="preserve"> Profiling!S$241</f>
        <v>0.30004115825367605</v>
      </c>
      <c r="T10" s="378">
        <f xml:space="preserve"> Profiling!T$241</f>
        <v>0.30931243004371467</v>
      </c>
      <c r="U10" s="378">
        <f xml:space="preserve"> Profiling!U$241</f>
        <v>0.31889677133216382</v>
      </c>
      <c r="V10" s="378">
        <f xml:space="preserve"> Profiling!V$241</f>
        <v>0.3287506815663277</v>
      </c>
    </row>
    <row r="11" spans="1:22">
      <c r="E11" s="3" t="s">
        <v>859</v>
      </c>
      <c r="F11" s="381"/>
      <c r="G11" s="3" t="s">
        <v>273</v>
      </c>
      <c r="H11" s="3"/>
      <c r="I11" s="3"/>
      <c r="J11" s="397">
        <f>IF(J10 = 0, 0, J10/$F9)</f>
        <v>0</v>
      </c>
      <c r="K11" s="351">
        <f t="shared" ref="K11:V11" si="0">IF(K10 = 0, 0, K10/$F9)</f>
        <v>0</v>
      </c>
      <c r="L11" s="351">
        <f t="shared" si="0"/>
        <v>0</v>
      </c>
      <c r="M11" s="351">
        <f t="shared" si="0"/>
        <v>0</v>
      </c>
      <c r="N11" s="351">
        <f t="shared" si="0"/>
        <v>0</v>
      </c>
      <c r="O11" s="351">
        <f t="shared" si="0"/>
        <v>0</v>
      </c>
      <c r="P11" s="351">
        <f t="shared" si="0"/>
        <v>0</v>
      </c>
      <c r="Q11" s="351">
        <f t="shared" si="0"/>
        <v>0</v>
      </c>
      <c r="R11" s="351">
        <f t="shared" si="0"/>
        <v>0.2</v>
      </c>
      <c r="S11" s="351">
        <f t="shared" si="0"/>
        <v>0.20617999999999997</v>
      </c>
      <c r="T11" s="351">
        <f t="shared" si="0"/>
        <v>0.21255096200000001</v>
      </c>
      <c r="U11" s="351">
        <f t="shared" si="0"/>
        <v>0.21913705671565134</v>
      </c>
      <c r="V11" s="351">
        <f t="shared" si="0"/>
        <v>0.22590839176816499</v>
      </c>
    </row>
    <row r="12" spans="1:22">
      <c r="F12" s="380"/>
    </row>
    <row r="13" spans="1:22">
      <c r="A13" s="355"/>
      <c r="E13" s="355" t="str">
        <f xml:space="preserve"> Calc!E$155</f>
        <v>Water trading total value of export incentive ~ Water resources at 2017-18 FYA CPIH deflated price base</v>
      </c>
      <c r="F13" s="382">
        <f xml:space="preserve"> Calc!F$155</f>
        <v>0</v>
      </c>
      <c r="G13" s="355" t="str">
        <f xml:space="preserve"> Calc!G$155</f>
        <v>£m</v>
      </c>
      <c r="H13" s="355">
        <f xml:space="preserve"> Calc!H$155</f>
        <v>0</v>
      </c>
      <c r="I13" s="355">
        <f xml:space="preserve"> Calc!I$155</f>
        <v>0</v>
      </c>
      <c r="J13" s="382">
        <f xml:space="preserve"> Calc!J$155</f>
        <v>0</v>
      </c>
      <c r="K13" s="382">
        <f xml:space="preserve"> Calc!K$155</f>
        <v>0</v>
      </c>
      <c r="L13" s="382">
        <f xml:space="preserve"> Calc!L$155</f>
        <v>0</v>
      </c>
      <c r="M13" s="382">
        <f xml:space="preserve"> Calc!M$155</f>
        <v>0</v>
      </c>
      <c r="N13" s="382">
        <f xml:space="preserve"> Calc!N$155</f>
        <v>0</v>
      </c>
      <c r="O13" s="382">
        <f xml:space="preserve"> Calc!O$155</f>
        <v>0</v>
      </c>
      <c r="P13" s="382">
        <f xml:space="preserve"> Calc!P$155</f>
        <v>0</v>
      </c>
      <c r="Q13" s="382">
        <f xml:space="preserve"> Calc!Q$155</f>
        <v>0</v>
      </c>
      <c r="R13" s="382">
        <f xml:space="preserve"> Calc!R$155</f>
        <v>0</v>
      </c>
      <c r="S13" s="382">
        <f xml:space="preserve"> Calc!S$155</f>
        <v>0</v>
      </c>
      <c r="T13" s="382">
        <f xml:space="preserve"> Calc!T$155</f>
        <v>0</v>
      </c>
      <c r="U13" s="382">
        <f xml:space="preserve"> Calc!U$155</f>
        <v>0</v>
      </c>
      <c r="V13" s="382">
        <f xml:space="preserve"> Calc!V$155</f>
        <v>0</v>
      </c>
    </row>
    <row r="14" spans="1:22">
      <c r="A14" s="355"/>
      <c r="E14" s="355" t="str">
        <f xml:space="preserve"> Calc!E$156</f>
        <v>Water trading total value of import incentive ~ Water resources  at 2017-18 FYA CPIH deflated price base</v>
      </c>
      <c r="F14" s="382">
        <f xml:space="preserve"> Calc!F$156</f>
        <v>0</v>
      </c>
      <c r="G14" s="355" t="str">
        <f xml:space="preserve"> Calc!G$156</f>
        <v>£m</v>
      </c>
      <c r="H14" s="355">
        <f xml:space="preserve"> Calc!H$156</f>
        <v>0</v>
      </c>
      <c r="I14" s="355">
        <f xml:space="preserve"> Calc!I$156</f>
        <v>0</v>
      </c>
      <c r="J14" s="382">
        <f xml:space="preserve"> Calc!J$156</f>
        <v>0</v>
      </c>
      <c r="K14" s="382">
        <f xml:space="preserve"> Calc!K$156</f>
        <v>0</v>
      </c>
      <c r="L14" s="382">
        <f xml:space="preserve"> Calc!L$156</f>
        <v>0</v>
      </c>
      <c r="M14" s="382">
        <f xml:space="preserve"> Calc!M$156</f>
        <v>0</v>
      </c>
      <c r="N14" s="382">
        <f xml:space="preserve"> Calc!N$156</f>
        <v>0</v>
      </c>
      <c r="O14" s="382">
        <f xml:space="preserve"> Calc!O$156</f>
        <v>0</v>
      </c>
      <c r="P14" s="382">
        <f xml:space="preserve"> Calc!P$156</f>
        <v>0</v>
      </c>
      <c r="Q14" s="382">
        <f xml:space="preserve"> Calc!Q$156</f>
        <v>0</v>
      </c>
      <c r="R14" s="382">
        <f xml:space="preserve"> Calc!R$156</f>
        <v>0</v>
      </c>
      <c r="S14" s="382">
        <f xml:space="preserve"> Calc!S$156</f>
        <v>0</v>
      </c>
      <c r="T14" s="382">
        <f xml:space="preserve"> Calc!T$156</f>
        <v>0</v>
      </c>
      <c r="U14" s="382">
        <f xml:space="preserve"> Calc!U$156</f>
        <v>0</v>
      </c>
      <c r="V14" s="382">
        <f xml:space="preserve"> Calc!V$156</f>
        <v>0</v>
      </c>
    </row>
    <row r="15" spans="1:22">
      <c r="E15" s="376" t="s">
        <v>860</v>
      </c>
      <c r="F15" s="379">
        <f xml:space="preserve"> SUM(F13:F14)</f>
        <v>0</v>
      </c>
      <c r="G15" s="376" t="s">
        <v>174</v>
      </c>
      <c r="H15" s="376">
        <f xml:space="preserve"> SUM(J15:V15)</f>
        <v>0</v>
      </c>
      <c r="I15" s="376"/>
      <c r="J15" s="398">
        <f>SUM(J13:J14)</f>
        <v>0</v>
      </c>
      <c r="K15" s="379">
        <f>SUM(K13:K14)</f>
        <v>0</v>
      </c>
      <c r="L15" s="379">
        <f t="shared" ref="L15:V15" si="1">SUM(L13:L14)</f>
        <v>0</v>
      </c>
      <c r="M15" s="379">
        <f t="shared" si="1"/>
        <v>0</v>
      </c>
      <c r="N15" s="379">
        <f t="shared" si="1"/>
        <v>0</v>
      </c>
      <c r="O15" s="379">
        <f t="shared" si="1"/>
        <v>0</v>
      </c>
      <c r="P15" s="379">
        <f t="shared" si="1"/>
        <v>0</v>
      </c>
      <c r="Q15" s="379">
        <f t="shared" si="1"/>
        <v>0</v>
      </c>
      <c r="R15" s="379">
        <f t="shared" si="1"/>
        <v>0</v>
      </c>
      <c r="S15" s="379">
        <f t="shared" si="1"/>
        <v>0</v>
      </c>
      <c r="T15" s="379">
        <f t="shared" si="1"/>
        <v>0</v>
      </c>
      <c r="U15" s="379">
        <f t="shared" si="1"/>
        <v>0</v>
      </c>
      <c r="V15" s="379">
        <f t="shared" si="1"/>
        <v>0</v>
      </c>
    </row>
    <row r="16" spans="1:22">
      <c r="F16" s="382"/>
      <c r="G16" s="355"/>
      <c r="H16" s="355"/>
      <c r="I16" s="355"/>
      <c r="J16" s="355"/>
      <c r="K16" s="355"/>
      <c r="L16" s="355"/>
      <c r="M16" s="355"/>
      <c r="N16" s="355"/>
      <c r="O16" s="355"/>
      <c r="P16" s="355"/>
      <c r="Q16" s="355"/>
      <c r="R16" s="355"/>
      <c r="S16" s="355"/>
      <c r="T16" s="355"/>
      <c r="U16" s="355"/>
      <c r="V16" s="355"/>
    </row>
    <row r="17" spans="1:22">
      <c r="A17" s="355"/>
      <c r="B17" s="355"/>
      <c r="C17" s="355"/>
      <c r="D17" s="355"/>
      <c r="E17" s="355" t="str">
        <f xml:space="preserve"> Calc!E$153</f>
        <v>ODI in-period revenue adjustment ~ Water resources at 2017-18 FYA CPIH deflated price base</v>
      </c>
      <c r="F17" s="382">
        <f xml:space="preserve"> Calc!F$153</f>
        <v>0</v>
      </c>
      <c r="G17" s="355" t="str">
        <f xml:space="preserve"> Calc!G$153</f>
        <v>£m</v>
      </c>
      <c r="H17" s="355">
        <f xml:space="preserve"> Calc!H$153</f>
        <v>0</v>
      </c>
      <c r="I17" s="355">
        <f xml:space="preserve"> Calc!I$153</f>
        <v>0</v>
      </c>
      <c r="J17" s="382">
        <f xml:space="preserve"> Calc!J$153</f>
        <v>0</v>
      </c>
      <c r="K17" s="382">
        <f xml:space="preserve"> Calc!K$153</f>
        <v>0</v>
      </c>
      <c r="L17" s="382">
        <f xml:space="preserve"> Calc!L$153</f>
        <v>0</v>
      </c>
      <c r="M17" s="382">
        <f xml:space="preserve"> Calc!M$153</f>
        <v>0</v>
      </c>
      <c r="N17" s="382">
        <f xml:space="preserve"> Calc!N$153</f>
        <v>0</v>
      </c>
      <c r="O17" s="382">
        <f xml:space="preserve"> Calc!O$153</f>
        <v>0</v>
      </c>
      <c r="P17" s="382">
        <f xml:space="preserve"> Calc!P$153</f>
        <v>0</v>
      </c>
      <c r="Q17" s="382">
        <f xml:space="preserve"> Calc!Q$153</f>
        <v>0</v>
      </c>
      <c r="R17" s="382">
        <f xml:space="preserve"> Calc!R$153</f>
        <v>0</v>
      </c>
      <c r="S17" s="382">
        <f xml:space="preserve"> Calc!S$153</f>
        <v>0</v>
      </c>
      <c r="T17" s="382">
        <f xml:space="preserve"> Calc!T$153</f>
        <v>0</v>
      </c>
      <c r="U17" s="382">
        <f xml:space="preserve"> Calc!U$153</f>
        <v>0</v>
      </c>
      <c r="V17" s="382">
        <f xml:space="preserve"> Calc!V$153</f>
        <v>0</v>
      </c>
    </row>
    <row r="18" spans="1:22">
      <c r="A18" s="355"/>
      <c r="B18" s="355"/>
      <c r="C18" s="355"/>
      <c r="D18" s="355"/>
      <c r="E18" s="355" t="str">
        <f xml:space="preserve"> Calc!E$154</f>
        <v>ODI end of period revenue adjustment ~ Water resources at 2017-18 FYA CPIH deflated price base</v>
      </c>
      <c r="F18" s="382">
        <f xml:space="preserve"> Calc!F$154</f>
        <v>1.4552389089808715</v>
      </c>
      <c r="G18" s="355" t="str">
        <f xml:space="preserve"> Calc!G$154</f>
        <v>£m</v>
      </c>
      <c r="H18" s="355">
        <f xml:space="preserve"> Calc!H$154</f>
        <v>0</v>
      </c>
      <c r="I18" s="355">
        <f xml:space="preserve"> Calc!I$154</f>
        <v>0</v>
      </c>
      <c r="J18" s="382">
        <f xml:space="preserve"> Calc!J$154</f>
        <v>0</v>
      </c>
      <c r="K18" s="382">
        <f xml:space="preserve"> Calc!K$154</f>
        <v>0</v>
      </c>
      <c r="L18" s="382">
        <f xml:space="preserve"> Calc!L$154</f>
        <v>0</v>
      </c>
      <c r="M18" s="382">
        <f xml:space="preserve"> Calc!M$154</f>
        <v>0</v>
      </c>
      <c r="N18" s="382">
        <f xml:space="preserve"> Calc!N$154</f>
        <v>0</v>
      </c>
      <c r="O18" s="382">
        <f xml:space="preserve"> Calc!O$154</f>
        <v>0</v>
      </c>
      <c r="P18" s="382">
        <f xml:space="preserve"> Calc!P$154</f>
        <v>0</v>
      </c>
      <c r="Q18" s="382">
        <f xml:space="preserve"> Calc!Q$154</f>
        <v>0</v>
      </c>
      <c r="R18" s="382">
        <f xml:space="preserve"> Calc!R$154</f>
        <v>0</v>
      </c>
      <c r="S18" s="382">
        <f xml:space="preserve"> Calc!S$154</f>
        <v>0</v>
      </c>
      <c r="T18" s="382">
        <f xml:space="preserve"> Calc!T$154</f>
        <v>0</v>
      </c>
      <c r="U18" s="382">
        <f xml:space="preserve"> Calc!U$154</f>
        <v>0</v>
      </c>
      <c r="V18" s="382">
        <f xml:space="preserve"> Calc!V$154</f>
        <v>0</v>
      </c>
    </row>
    <row r="19" spans="1:22">
      <c r="E19" s="386" t="str">
        <f xml:space="preserve"> E$15</f>
        <v>Water trading total value of incentive ~ Water resources  at 2017-18 FYA CPIH deflated price base</v>
      </c>
      <c r="F19" s="399">
        <f t="shared" ref="F19:V19" si="2" xml:space="preserve"> F$15</f>
        <v>0</v>
      </c>
      <c r="G19" s="386" t="str">
        <f t="shared" si="2"/>
        <v>£m</v>
      </c>
      <c r="H19" s="386">
        <f t="shared" si="2"/>
        <v>0</v>
      </c>
      <c r="I19" s="386">
        <f t="shared" si="2"/>
        <v>0</v>
      </c>
      <c r="J19" s="399">
        <f t="shared" si="2"/>
        <v>0</v>
      </c>
      <c r="K19" s="387">
        <f t="shared" si="2"/>
        <v>0</v>
      </c>
      <c r="L19" s="387">
        <f t="shared" si="2"/>
        <v>0</v>
      </c>
      <c r="M19" s="387">
        <f t="shared" si="2"/>
        <v>0</v>
      </c>
      <c r="N19" s="387">
        <f t="shared" si="2"/>
        <v>0</v>
      </c>
      <c r="O19" s="387">
        <f t="shared" si="2"/>
        <v>0</v>
      </c>
      <c r="P19" s="387">
        <f t="shared" si="2"/>
        <v>0</v>
      </c>
      <c r="Q19" s="387">
        <f t="shared" si="2"/>
        <v>0</v>
      </c>
      <c r="R19" s="387">
        <f t="shared" si="2"/>
        <v>0</v>
      </c>
      <c r="S19" s="387">
        <f t="shared" si="2"/>
        <v>0</v>
      </c>
      <c r="T19" s="387">
        <f t="shared" si="2"/>
        <v>0</v>
      </c>
      <c r="U19" s="387">
        <f t="shared" si="2"/>
        <v>0</v>
      </c>
      <c r="V19" s="387">
        <f t="shared" si="2"/>
        <v>0</v>
      </c>
    </row>
    <row r="20" spans="1:22" ht="6" customHeight="1">
      <c r="F20" s="380"/>
    </row>
    <row r="21" spans="1:22">
      <c r="E21" t="str">
        <f t="shared" ref="E21:V21" si="3" xml:space="preserve"> E$11</f>
        <v>Water resources profiling proportions</v>
      </c>
      <c r="F21">
        <f t="shared" si="3"/>
        <v>0</v>
      </c>
      <c r="G21" t="str">
        <f t="shared" si="3"/>
        <v>%</v>
      </c>
      <c r="H21">
        <f t="shared" si="3"/>
        <v>0</v>
      </c>
      <c r="I21">
        <f t="shared" si="3"/>
        <v>0</v>
      </c>
      <c r="J21" s="400">
        <f t="shared" si="3"/>
        <v>0</v>
      </c>
      <c r="K21" s="202">
        <f t="shared" si="3"/>
        <v>0</v>
      </c>
      <c r="L21" s="202">
        <f t="shared" si="3"/>
        <v>0</v>
      </c>
      <c r="M21" s="202">
        <f t="shared" si="3"/>
        <v>0</v>
      </c>
      <c r="N21" s="202">
        <f t="shared" si="3"/>
        <v>0</v>
      </c>
      <c r="O21" s="202">
        <f t="shared" si="3"/>
        <v>0</v>
      </c>
      <c r="P21" s="202">
        <f t="shared" si="3"/>
        <v>0</v>
      </c>
      <c r="Q21" s="202">
        <f t="shared" si="3"/>
        <v>0</v>
      </c>
      <c r="R21" s="202">
        <f t="shared" si="3"/>
        <v>0.2</v>
      </c>
      <c r="S21" s="202">
        <f t="shared" si="3"/>
        <v>0.20617999999999997</v>
      </c>
      <c r="T21" s="202">
        <f t="shared" si="3"/>
        <v>0.21255096200000001</v>
      </c>
      <c r="U21" s="202">
        <f t="shared" si="3"/>
        <v>0.21913705671565134</v>
      </c>
      <c r="V21" s="202">
        <f t="shared" si="3"/>
        <v>0.22590839176816499</v>
      </c>
    </row>
    <row r="22" spans="1:22" ht="6" customHeight="1"/>
    <row r="23" spans="1:22">
      <c r="E23" t="s">
        <v>307</v>
      </c>
      <c r="G23" t="s">
        <v>174</v>
      </c>
      <c r="H23">
        <f xml:space="preserve"> SUM(J23:V23)</f>
        <v>0</v>
      </c>
      <c r="J23" s="401">
        <f t="shared" ref="J23:V23" si="4" xml:space="preserve"> $F17 * J$21</f>
        <v>0</v>
      </c>
      <c r="K23" s="380">
        <f t="shared" si="4"/>
        <v>0</v>
      </c>
      <c r="L23" s="380">
        <f t="shared" si="4"/>
        <v>0</v>
      </c>
      <c r="M23" s="380">
        <f t="shared" si="4"/>
        <v>0</v>
      </c>
      <c r="N23" s="380">
        <f t="shared" si="4"/>
        <v>0</v>
      </c>
      <c r="O23" s="380">
        <f t="shared" si="4"/>
        <v>0</v>
      </c>
      <c r="P23" s="380">
        <f t="shared" si="4"/>
        <v>0</v>
      </c>
      <c r="Q23" s="380">
        <f t="shared" si="4"/>
        <v>0</v>
      </c>
      <c r="R23" s="380">
        <f t="shared" si="4"/>
        <v>0</v>
      </c>
      <c r="S23" s="380">
        <f t="shared" si="4"/>
        <v>0</v>
      </c>
      <c r="T23" s="380">
        <f t="shared" si="4"/>
        <v>0</v>
      </c>
      <c r="U23" s="380">
        <f t="shared" si="4"/>
        <v>0</v>
      </c>
      <c r="V23" s="380">
        <f t="shared" si="4"/>
        <v>0</v>
      </c>
    </row>
    <row r="24" spans="1:22">
      <c r="E24" t="s">
        <v>319</v>
      </c>
      <c r="G24" t="s">
        <v>174</v>
      </c>
      <c r="H24">
        <f xml:space="preserve"> SUM(J24:V24)</f>
        <v>1.5480488229920566</v>
      </c>
      <c r="J24" s="401">
        <f t="shared" ref="J24:V24" si="5" xml:space="preserve"> $F18 * J$21</f>
        <v>0</v>
      </c>
      <c r="K24" s="380">
        <f t="shared" si="5"/>
        <v>0</v>
      </c>
      <c r="L24" s="380">
        <f t="shared" si="5"/>
        <v>0</v>
      </c>
      <c r="M24" s="380">
        <f t="shared" si="5"/>
        <v>0</v>
      </c>
      <c r="N24" s="380">
        <f t="shared" si="5"/>
        <v>0</v>
      </c>
      <c r="O24" s="380">
        <f t="shared" si="5"/>
        <v>0</v>
      </c>
      <c r="P24" s="380">
        <f t="shared" si="5"/>
        <v>0</v>
      </c>
      <c r="Q24" s="380">
        <f t="shared" si="5"/>
        <v>0</v>
      </c>
      <c r="R24" s="380">
        <f t="shared" si="5"/>
        <v>0.2910477817961743</v>
      </c>
      <c r="S24" s="380">
        <f t="shared" si="5"/>
        <v>0.30004115825367605</v>
      </c>
      <c r="T24" s="380">
        <f t="shared" si="5"/>
        <v>0.30931243004371467</v>
      </c>
      <c r="U24" s="380">
        <f t="shared" si="5"/>
        <v>0.31889677133216382</v>
      </c>
      <c r="V24" s="380">
        <f t="shared" si="5"/>
        <v>0.3287506815663277</v>
      </c>
    </row>
    <row r="25" spans="1:22">
      <c r="E25" t="s">
        <v>385</v>
      </c>
      <c r="G25" t="s">
        <v>174</v>
      </c>
      <c r="H25">
        <f xml:space="preserve"> SUM(J25:V25)</f>
        <v>0</v>
      </c>
      <c r="J25" s="401">
        <f t="shared" ref="J25" si="6" xml:space="preserve"> $F19 * J$21</f>
        <v>0</v>
      </c>
      <c r="K25" s="380">
        <f xml:space="preserve"> $F19 * K$21</f>
        <v>0</v>
      </c>
      <c r="L25" s="380">
        <f t="shared" ref="L25:V25" si="7" xml:space="preserve"> $F19 * L$21</f>
        <v>0</v>
      </c>
      <c r="M25" s="380">
        <f t="shared" si="7"/>
        <v>0</v>
      </c>
      <c r="N25" s="380">
        <f t="shared" si="7"/>
        <v>0</v>
      </c>
      <c r="O25" s="380">
        <f t="shared" si="7"/>
        <v>0</v>
      </c>
      <c r="P25" s="380">
        <f t="shared" si="7"/>
        <v>0</v>
      </c>
      <c r="Q25" s="380">
        <f t="shared" si="7"/>
        <v>0</v>
      </c>
      <c r="R25" s="380">
        <f t="shared" si="7"/>
        <v>0</v>
      </c>
      <c r="S25" s="380">
        <f t="shared" si="7"/>
        <v>0</v>
      </c>
      <c r="T25" s="380">
        <f t="shared" si="7"/>
        <v>0</v>
      </c>
      <c r="U25" s="380">
        <f t="shared" si="7"/>
        <v>0</v>
      </c>
      <c r="V25" s="380">
        <f t="shared" si="7"/>
        <v>0</v>
      </c>
    </row>
    <row r="26" spans="1:22">
      <c r="E26" s="376" t="s">
        <v>861</v>
      </c>
      <c r="F26" s="376"/>
      <c r="G26" s="376" t="s">
        <v>174</v>
      </c>
      <c r="H26" s="376">
        <f xml:space="preserve"> SUM(J26:V26)</f>
        <v>1.5480488229920566</v>
      </c>
      <c r="I26" s="376"/>
      <c r="J26" s="398">
        <f xml:space="preserve"> SUM(J23:J25)</f>
        <v>0</v>
      </c>
      <c r="K26" s="379">
        <f t="shared" ref="K26:V26" si="8" xml:space="preserve"> SUM(K23:K25)</f>
        <v>0</v>
      </c>
      <c r="L26" s="379">
        <f t="shared" si="8"/>
        <v>0</v>
      </c>
      <c r="M26" s="379">
        <f t="shared" si="8"/>
        <v>0</v>
      </c>
      <c r="N26" s="379">
        <f t="shared" si="8"/>
        <v>0</v>
      </c>
      <c r="O26" s="379">
        <f t="shared" si="8"/>
        <v>0</v>
      </c>
      <c r="P26" s="379">
        <f t="shared" si="8"/>
        <v>0</v>
      </c>
      <c r="Q26" s="379">
        <f t="shared" si="8"/>
        <v>0</v>
      </c>
      <c r="R26" s="379">
        <f t="shared" si="8"/>
        <v>0.2910477817961743</v>
      </c>
      <c r="S26" s="379">
        <f t="shared" si="8"/>
        <v>0.30004115825367605</v>
      </c>
      <c r="T26" s="379">
        <f t="shared" si="8"/>
        <v>0.30931243004371467</v>
      </c>
      <c r="U26" s="379">
        <f t="shared" si="8"/>
        <v>0.31889677133216382</v>
      </c>
      <c r="V26" s="379">
        <f t="shared" si="8"/>
        <v>0.3287506815663277</v>
      </c>
    </row>
    <row r="27" spans="1:22">
      <c r="J27" s="380"/>
      <c r="K27" s="380"/>
      <c r="L27" s="380"/>
      <c r="M27" s="380"/>
      <c r="N27" s="380"/>
      <c r="O27" s="380"/>
      <c r="P27" s="380"/>
      <c r="Q27" s="380"/>
      <c r="R27" s="380"/>
      <c r="S27" s="380"/>
      <c r="T27" s="380"/>
      <c r="U27" s="380"/>
      <c r="V27" s="380"/>
    </row>
    <row r="28" spans="1:22">
      <c r="E28" t="str">
        <f xml:space="preserve"> E$10</f>
        <v>Water resources revenue adjustment active</v>
      </c>
      <c r="F28">
        <f t="shared" ref="F28:V28" si="9" xml:space="preserve"> F$10</f>
        <v>0</v>
      </c>
      <c r="G28" t="str">
        <f t="shared" si="9"/>
        <v>£m</v>
      </c>
      <c r="H28">
        <f t="shared" si="9"/>
        <v>1.5480488229920566</v>
      </c>
      <c r="I28">
        <f t="shared" si="9"/>
        <v>0</v>
      </c>
      <c r="J28" s="401">
        <f t="shared" si="9"/>
        <v>0</v>
      </c>
      <c r="K28" s="380">
        <f t="shared" si="9"/>
        <v>0</v>
      </c>
      <c r="L28" s="380">
        <f t="shared" si="9"/>
        <v>0</v>
      </c>
      <c r="M28" s="380">
        <f t="shared" si="9"/>
        <v>0</v>
      </c>
      <c r="N28" s="380">
        <f t="shared" si="9"/>
        <v>0</v>
      </c>
      <c r="O28" s="380">
        <f t="shared" si="9"/>
        <v>0</v>
      </c>
      <c r="P28" s="380">
        <f t="shared" si="9"/>
        <v>0</v>
      </c>
      <c r="Q28" s="380">
        <f t="shared" si="9"/>
        <v>0</v>
      </c>
      <c r="R28" s="380">
        <f t="shared" si="9"/>
        <v>0.2910477817961743</v>
      </c>
      <c r="S28" s="380">
        <f t="shared" si="9"/>
        <v>0.30004115825367605</v>
      </c>
      <c r="T28" s="380">
        <f t="shared" si="9"/>
        <v>0.30931243004371467</v>
      </c>
      <c r="U28" s="380">
        <f t="shared" si="9"/>
        <v>0.31889677133216382</v>
      </c>
      <c r="V28" s="380">
        <f t="shared" si="9"/>
        <v>0.3287506815663277</v>
      </c>
    </row>
    <row r="29" spans="1:22">
      <c r="E29" t="str">
        <f xml:space="preserve"> E$26</f>
        <v>Total water resources revenue adjustments</v>
      </c>
      <c r="F29">
        <f t="shared" ref="F29:V29" si="10" xml:space="preserve"> F$26</f>
        <v>0</v>
      </c>
      <c r="G29" t="str">
        <f t="shared" si="10"/>
        <v>£m</v>
      </c>
      <c r="H29">
        <f t="shared" si="10"/>
        <v>1.5480488229920566</v>
      </c>
      <c r="I29">
        <f t="shared" si="10"/>
        <v>0</v>
      </c>
      <c r="J29" s="401">
        <f t="shared" si="10"/>
        <v>0</v>
      </c>
      <c r="K29" s="380">
        <f t="shared" si="10"/>
        <v>0</v>
      </c>
      <c r="L29" s="380">
        <f t="shared" si="10"/>
        <v>0</v>
      </c>
      <c r="M29" s="380">
        <f t="shared" si="10"/>
        <v>0</v>
      </c>
      <c r="N29" s="380">
        <f t="shared" si="10"/>
        <v>0</v>
      </c>
      <c r="O29" s="380">
        <f t="shared" si="10"/>
        <v>0</v>
      </c>
      <c r="P29" s="380">
        <f t="shared" si="10"/>
        <v>0</v>
      </c>
      <c r="Q29" s="380">
        <f t="shared" si="10"/>
        <v>0</v>
      </c>
      <c r="R29" s="380">
        <f t="shared" si="10"/>
        <v>0.2910477817961743</v>
      </c>
      <c r="S29" s="380">
        <f t="shared" si="10"/>
        <v>0.30004115825367605</v>
      </c>
      <c r="T29" s="380">
        <f t="shared" si="10"/>
        <v>0.30931243004371467</v>
      </c>
      <c r="U29" s="380">
        <f t="shared" si="10"/>
        <v>0.31889677133216382</v>
      </c>
      <c r="V29" s="380">
        <f t="shared" si="10"/>
        <v>0.3287506815663277</v>
      </c>
    </row>
    <row r="30" spans="1:22">
      <c r="E30" t="s">
        <v>862</v>
      </c>
      <c r="F30" s="134">
        <f xml:space="preserve"> IF(SUM(J30:V30)&lt;&gt;0, 1, 0)</f>
        <v>0</v>
      </c>
      <c r="G30" t="s">
        <v>863</v>
      </c>
      <c r="J30" s="401">
        <f xml:space="preserve"> IF(J28 = J29, 0, 1)</f>
        <v>0</v>
      </c>
      <c r="K30" s="380">
        <f t="shared" ref="K30:V30" si="11" xml:space="preserve"> IF(K28 = K29, 0, 1)</f>
        <v>0</v>
      </c>
      <c r="L30" s="380">
        <f t="shared" si="11"/>
        <v>0</v>
      </c>
      <c r="M30" s="380">
        <f t="shared" si="11"/>
        <v>0</v>
      </c>
      <c r="N30" s="380">
        <f t="shared" si="11"/>
        <v>0</v>
      </c>
      <c r="O30" s="380">
        <f t="shared" si="11"/>
        <v>0</v>
      </c>
      <c r="P30" s="380">
        <f t="shared" si="11"/>
        <v>0</v>
      </c>
      <c r="Q30" s="380">
        <f t="shared" si="11"/>
        <v>0</v>
      </c>
      <c r="R30" s="380">
        <f t="shared" si="11"/>
        <v>0</v>
      </c>
      <c r="S30" s="380">
        <f t="shared" si="11"/>
        <v>0</v>
      </c>
      <c r="T30" s="380">
        <f t="shared" si="11"/>
        <v>0</v>
      </c>
      <c r="U30" s="380">
        <f t="shared" si="11"/>
        <v>0</v>
      </c>
      <c r="V30" s="380">
        <f t="shared" si="11"/>
        <v>0</v>
      </c>
    </row>
    <row r="34" spans="1:22" ht="12.75" customHeight="1">
      <c r="A34" s="39" t="s">
        <v>864</v>
      </c>
      <c r="B34" s="39"/>
      <c r="C34" s="40"/>
      <c r="D34" s="39"/>
      <c r="E34" s="39"/>
      <c r="F34" s="39"/>
      <c r="G34" s="39"/>
      <c r="H34" s="39"/>
      <c r="I34" s="39"/>
      <c r="J34" s="39"/>
      <c r="K34" s="39"/>
      <c r="L34" s="39"/>
      <c r="M34" s="39"/>
      <c r="N34" s="39"/>
      <c r="O34" s="39"/>
      <c r="P34" s="39"/>
      <c r="Q34" s="39"/>
      <c r="R34" s="39"/>
      <c r="S34" s="39"/>
      <c r="T34" s="39"/>
      <c r="U34" s="39"/>
      <c r="V34" s="39"/>
    </row>
    <row r="36" spans="1:22">
      <c r="E36" s="12" t="str">
        <f xml:space="preserve"> Calc!E$198</f>
        <v>Water network plus revenue adjustment</v>
      </c>
      <c r="F36" s="382">
        <f xml:space="preserve"> Calc!F$198</f>
        <v>-3.9561422547435328</v>
      </c>
      <c r="G36" s="12" t="str">
        <f xml:space="preserve"> Calc!G$198</f>
        <v>£m</v>
      </c>
      <c r="H36" s="378">
        <f xml:space="preserve"> Calc!H$198</f>
        <v>0</v>
      </c>
      <c r="I36" s="12">
        <f xml:space="preserve"> Calc!I$198</f>
        <v>0</v>
      </c>
      <c r="J36" s="382">
        <f xml:space="preserve"> Calc!J$198</f>
        <v>0</v>
      </c>
      <c r="K36" s="378">
        <f xml:space="preserve"> Calc!K$198</f>
        <v>0</v>
      </c>
      <c r="L36" s="378">
        <f xml:space="preserve"> Calc!L$198</f>
        <v>0</v>
      </c>
      <c r="M36" s="378">
        <f xml:space="preserve"> Calc!M$198</f>
        <v>0</v>
      </c>
      <c r="N36" s="378">
        <f xml:space="preserve"> Calc!N$198</f>
        <v>0</v>
      </c>
      <c r="O36" s="378">
        <f xml:space="preserve"> Calc!O$198</f>
        <v>0</v>
      </c>
      <c r="P36" s="378">
        <f xml:space="preserve"> Calc!P$198</f>
        <v>0</v>
      </c>
      <c r="Q36" s="378">
        <f xml:space="preserve"> Calc!Q$198</f>
        <v>0</v>
      </c>
      <c r="R36" s="378">
        <f xml:space="preserve"> Calc!R$198</f>
        <v>0</v>
      </c>
      <c r="S36" s="378">
        <f xml:space="preserve"> Calc!S$198</f>
        <v>0</v>
      </c>
      <c r="T36" s="378">
        <f xml:space="preserve"> Calc!T$198</f>
        <v>0</v>
      </c>
      <c r="U36" s="378">
        <f xml:space="preserve"> Calc!U$198</f>
        <v>0</v>
      </c>
      <c r="V36" s="378">
        <f xml:space="preserve"> Calc!V$198</f>
        <v>0</v>
      </c>
    </row>
    <row r="37" spans="1:22">
      <c r="E37" s="12" t="str">
        <f xml:space="preserve"> Profiling!E$242</f>
        <v>Water network revenue adjustment active</v>
      </c>
      <c r="F37" s="378">
        <f xml:space="preserve"> Profiling!F$242</f>
        <v>0</v>
      </c>
      <c r="G37" s="12" t="str">
        <f xml:space="preserve"> Profiling!G$242</f>
        <v>£m</v>
      </c>
      <c r="H37" s="378">
        <f xml:space="preserve"> Profiling!H$242</f>
        <v>-4.2084508071144269</v>
      </c>
      <c r="I37" s="12">
        <f xml:space="preserve"> Profiling!I$242</f>
        <v>0</v>
      </c>
      <c r="J37" s="382">
        <f xml:space="preserve"> Profiling!J$242</f>
        <v>0</v>
      </c>
      <c r="K37" s="378">
        <f xml:space="preserve"> Profiling!K$242</f>
        <v>0</v>
      </c>
      <c r="L37" s="378">
        <f xml:space="preserve"> Profiling!L$242</f>
        <v>0</v>
      </c>
      <c r="M37" s="378">
        <f xml:space="preserve"> Profiling!M$242</f>
        <v>0</v>
      </c>
      <c r="N37" s="378">
        <f xml:space="preserve"> Profiling!N$242</f>
        <v>0</v>
      </c>
      <c r="O37" s="378">
        <f xml:space="preserve"> Profiling!O$242</f>
        <v>0</v>
      </c>
      <c r="P37" s="378">
        <f xml:space="preserve"> Profiling!P$242</f>
        <v>0</v>
      </c>
      <c r="Q37" s="378">
        <f xml:space="preserve"> Profiling!Q$242</f>
        <v>0</v>
      </c>
      <c r="R37" s="378">
        <f xml:space="preserve"> Profiling!R$242</f>
        <v>-0.79122845094870653</v>
      </c>
      <c r="S37" s="378">
        <f xml:space="preserve"> Profiling!S$242</f>
        <v>-0.81567741008302153</v>
      </c>
      <c r="T37" s="378">
        <f xml:space="preserve"> Profiling!T$242</f>
        <v>-0.84088184205458683</v>
      </c>
      <c r="U37" s="378">
        <f xml:space="preserve"> Profiling!U$242</f>
        <v>-0.86693736965291823</v>
      </c>
      <c r="V37" s="378">
        <f xml:space="preserve"> Profiling!V$242</f>
        <v>-0.89372573437519354</v>
      </c>
    </row>
    <row r="38" spans="1:22">
      <c r="E38" t="s">
        <v>865</v>
      </c>
      <c r="F38" s="380"/>
      <c r="G38" t="s">
        <v>273</v>
      </c>
      <c r="J38" s="402">
        <f>IF(J37 = 0, 0, J37/$F36)</f>
        <v>0</v>
      </c>
      <c r="K38" s="202">
        <f t="shared" ref="K38:V38" si="12">IF(K37 = 0, 0, K37/$F36)</f>
        <v>0</v>
      </c>
      <c r="L38" s="202">
        <f t="shared" si="12"/>
        <v>0</v>
      </c>
      <c r="M38" s="202">
        <f t="shared" si="12"/>
        <v>0</v>
      </c>
      <c r="N38" s="202">
        <f t="shared" si="12"/>
        <v>0</v>
      </c>
      <c r="O38" s="202">
        <f t="shared" si="12"/>
        <v>0</v>
      </c>
      <c r="P38" s="202">
        <f t="shared" si="12"/>
        <v>0</v>
      </c>
      <c r="Q38" s="202">
        <f t="shared" si="12"/>
        <v>0</v>
      </c>
      <c r="R38" s="202">
        <f t="shared" si="12"/>
        <v>0.19999999999999998</v>
      </c>
      <c r="S38" s="202">
        <f t="shared" si="12"/>
        <v>0.20617999999999997</v>
      </c>
      <c r="T38" s="202">
        <f t="shared" si="12"/>
        <v>0.21255096199999995</v>
      </c>
      <c r="U38" s="202">
        <f t="shared" si="12"/>
        <v>0.21913705671565131</v>
      </c>
      <c r="V38" s="202">
        <f t="shared" si="12"/>
        <v>0.22590839176816499</v>
      </c>
    </row>
    <row r="39" spans="1:22">
      <c r="F39" s="380"/>
    </row>
    <row r="40" spans="1:22">
      <c r="E40" s="12" t="str">
        <f xml:space="preserve"> Calc!E$161</f>
        <v>Water trading total value of export incentive ~ Water network plus at 2017-18 FYA CPIH deflated price base</v>
      </c>
      <c r="F40" s="378">
        <f xml:space="preserve"> Calc!F$161</f>
        <v>0</v>
      </c>
      <c r="G40" s="12" t="str">
        <f xml:space="preserve"> Calc!G$161</f>
        <v>£m</v>
      </c>
      <c r="H40" s="378">
        <f xml:space="preserve"> Calc!H$161</f>
        <v>0</v>
      </c>
      <c r="I40" s="12">
        <f xml:space="preserve"> Calc!I$161</f>
        <v>0</v>
      </c>
      <c r="J40" s="382">
        <f xml:space="preserve"> Calc!J$161</f>
        <v>0</v>
      </c>
      <c r="K40" s="378">
        <f xml:space="preserve"> Calc!K$161</f>
        <v>0</v>
      </c>
      <c r="L40" s="378">
        <f xml:space="preserve"> Calc!L$161</f>
        <v>0</v>
      </c>
      <c r="M40" s="378">
        <f xml:space="preserve"> Calc!M$161</f>
        <v>0</v>
      </c>
      <c r="N40" s="378">
        <f xml:space="preserve"> Calc!N$161</f>
        <v>0</v>
      </c>
      <c r="O40" s="378">
        <f xml:space="preserve"> Calc!O$161</f>
        <v>0</v>
      </c>
      <c r="P40" s="378">
        <f xml:space="preserve"> Calc!P$161</f>
        <v>0</v>
      </c>
      <c r="Q40" s="378">
        <f xml:space="preserve"> Calc!Q$161</f>
        <v>0</v>
      </c>
      <c r="R40" s="378">
        <f xml:space="preserve"> Calc!R$161</f>
        <v>0</v>
      </c>
      <c r="S40" s="378">
        <f xml:space="preserve"> Calc!S$161</f>
        <v>0</v>
      </c>
      <c r="T40" s="378">
        <f xml:space="preserve"> Calc!T$161</f>
        <v>0</v>
      </c>
      <c r="U40" s="378">
        <f xml:space="preserve"> Calc!U$161</f>
        <v>0</v>
      </c>
      <c r="V40" s="378">
        <f xml:space="preserve"> Calc!V$161</f>
        <v>0</v>
      </c>
    </row>
    <row r="41" spans="1:22">
      <c r="E41" s="12" t="str">
        <f xml:space="preserve"> Calc!E$162</f>
        <v>Water trading total value of import incentive ~ Water network plus at 2017-18 FYA CPIH deflated price base</v>
      </c>
      <c r="F41" s="378">
        <f xml:space="preserve"> Calc!F$162</f>
        <v>0</v>
      </c>
      <c r="G41" s="12" t="str">
        <f xml:space="preserve"> Calc!G$162</f>
        <v>£m</v>
      </c>
      <c r="H41" s="378">
        <f xml:space="preserve"> Calc!H$162</f>
        <v>0</v>
      </c>
      <c r="I41" s="12">
        <f xml:space="preserve"> Calc!I$162</f>
        <v>0</v>
      </c>
      <c r="J41" s="382">
        <f xml:space="preserve"> Calc!J$162</f>
        <v>0</v>
      </c>
      <c r="K41" s="378">
        <f xml:space="preserve"> Calc!K$162</f>
        <v>0</v>
      </c>
      <c r="L41" s="378">
        <f xml:space="preserve"> Calc!L$162</f>
        <v>0</v>
      </c>
      <c r="M41" s="378">
        <f xml:space="preserve"> Calc!M$162</f>
        <v>0</v>
      </c>
      <c r="N41" s="378">
        <f xml:space="preserve"> Calc!N$162</f>
        <v>0</v>
      </c>
      <c r="O41" s="378">
        <f xml:space="preserve"> Calc!O$162</f>
        <v>0</v>
      </c>
      <c r="P41" s="378">
        <f xml:space="preserve"> Calc!P$162</f>
        <v>0</v>
      </c>
      <c r="Q41" s="378">
        <f xml:space="preserve"> Calc!Q$162</f>
        <v>0</v>
      </c>
      <c r="R41" s="378">
        <f xml:space="preserve"> Calc!R$162</f>
        <v>0</v>
      </c>
      <c r="S41" s="378">
        <f xml:space="preserve"> Calc!S$162</f>
        <v>0</v>
      </c>
      <c r="T41" s="378">
        <f xml:space="preserve"> Calc!T$162</f>
        <v>0</v>
      </c>
      <c r="U41" s="378">
        <f xml:space="preserve"> Calc!U$162</f>
        <v>0</v>
      </c>
      <c r="V41" s="378">
        <f xml:space="preserve"> Calc!V$162</f>
        <v>0</v>
      </c>
    </row>
    <row r="42" spans="1:22">
      <c r="E42" s="376" t="s">
        <v>866</v>
      </c>
      <c r="F42" s="379">
        <f xml:space="preserve"> SUM(F40:F41)</f>
        <v>0</v>
      </c>
      <c r="G42" s="376" t="s">
        <v>174</v>
      </c>
      <c r="H42" s="379">
        <f xml:space="preserve"> SUM(J42:V42)</f>
        <v>0</v>
      </c>
      <c r="I42" s="376"/>
      <c r="J42" s="398">
        <f>SUM(J40:J41)</f>
        <v>0</v>
      </c>
      <c r="K42" s="379">
        <f>SUM(K40:K41)</f>
        <v>0</v>
      </c>
      <c r="L42" s="379">
        <f t="shared" ref="L42" si="13">SUM(L40:L41)</f>
        <v>0</v>
      </c>
      <c r="M42" s="379">
        <f t="shared" ref="M42" si="14">SUM(M40:M41)</f>
        <v>0</v>
      </c>
      <c r="N42" s="379">
        <f t="shared" ref="N42" si="15">SUM(N40:N41)</f>
        <v>0</v>
      </c>
      <c r="O42" s="379">
        <f t="shared" ref="O42" si="16">SUM(O40:O41)</f>
        <v>0</v>
      </c>
      <c r="P42" s="379">
        <f t="shared" ref="P42" si="17">SUM(P40:P41)</f>
        <v>0</v>
      </c>
      <c r="Q42" s="379">
        <f t="shared" ref="Q42" si="18">SUM(Q40:Q41)</f>
        <v>0</v>
      </c>
      <c r="R42" s="379">
        <f t="shared" ref="R42" si="19">SUM(R40:R41)</f>
        <v>0</v>
      </c>
      <c r="S42" s="379">
        <f t="shared" ref="S42" si="20">SUM(S40:S41)</f>
        <v>0</v>
      </c>
      <c r="T42" s="379">
        <f t="shared" ref="T42" si="21">SUM(T40:T41)</f>
        <v>0</v>
      </c>
      <c r="U42" s="379">
        <f t="shared" ref="U42" si="22">SUM(U40:U41)</f>
        <v>0</v>
      </c>
      <c r="V42" s="379">
        <f t="shared" ref="V42" si="23">SUM(V40:V41)</f>
        <v>0</v>
      </c>
    </row>
    <row r="43" spans="1:22">
      <c r="F43" s="380"/>
      <c r="H43" s="380"/>
      <c r="J43" s="380"/>
      <c r="K43" s="380"/>
      <c r="L43" s="380"/>
      <c r="M43" s="380"/>
      <c r="N43" s="380"/>
      <c r="O43" s="380"/>
      <c r="P43" s="380"/>
      <c r="Q43" s="380"/>
      <c r="R43" s="380"/>
      <c r="S43" s="380"/>
      <c r="T43" s="380"/>
      <c r="U43" s="380"/>
      <c r="V43" s="380"/>
    </row>
    <row r="44" spans="1:22">
      <c r="E44" s="12" t="str">
        <f xml:space="preserve"> Calc!E$158</f>
        <v>ODI in-period revenue adjustment ~ Water network plus at 2017-18 FYA CPIH deflated price base</v>
      </c>
      <c r="F44" s="382">
        <f xml:space="preserve"> Calc!F$158</f>
        <v>0</v>
      </c>
      <c r="G44" s="12" t="str">
        <f xml:space="preserve"> Calc!G$158</f>
        <v>£m</v>
      </c>
      <c r="H44" s="378">
        <f xml:space="preserve"> Calc!H$158</f>
        <v>0</v>
      </c>
      <c r="I44" s="12">
        <f xml:space="preserve"> Calc!I$158</f>
        <v>0</v>
      </c>
      <c r="J44" s="382">
        <f xml:space="preserve"> Calc!J$158</f>
        <v>0</v>
      </c>
      <c r="K44" s="378">
        <f xml:space="preserve"> Calc!K$158</f>
        <v>0</v>
      </c>
      <c r="L44" s="378">
        <f xml:space="preserve"> Calc!L$158</f>
        <v>0</v>
      </c>
      <c r="M44" s="378">
        <f xml:space="preserve"> Calc!M$158</f>
        <v>0</v>
      </c>
      <c r="N44" s="378">
        <f xml:space="preserve"> Calc!N$158</f>
        <v>0</v>
      </c>
      <c r="O44" s="378">
        <f xml:space="preserve"> Calc!O$158</f>
        <v>0</v>
      </c>
      <c r="P44" s="378">
        <f xml:space="preserve"> Calc!P$158</f>
        <v>0</v>
      </c>
      <c r="Q44" s="378">
        <f xml:space="preserve"> Calc!Q$158</f>
        <v>0</v>
      </c>
      <c r="R44" s="378">
        <f xml:space="preserve"> Calc!R$158</f>
        <v>0</v>
      </c>
      <c r="S44" s="378">
        <f xml:space="preserve"> Calc!S$158</f>
        <v>0</v>
      </c>
      <c r="T44" s="378">
        <f xml:space="preserve"> Calc!T$158</f>
        <v>0</v>
      </c>
      <c r="U44" s="378">
        <f xml:space="preserve"> Calc!U$158</f>
        <v>0</v>
      </c>
      <c r="V44" s="378">
        <f xml:space="preserve"> Calc!V$158</f>
        <v>0</v>
      </c>
    </row>
    <row r="45" spans="1:22">
      <c r="E45" s="12" t="str">
        <f xml:space="preserve"> Calc!E$159</f>
        <v>ODI end of period revenue adjustment ~ Water network plus at 2017-18 FYA CPIH deflated price base</v>
      </c>
      <c r="F45" s="378">
        <f xml:space="preserve"> Calc!F$159</f>
        <v>-14.852639963519394</v>
      </c>
      <c r="G45" s="12" t="str">
        <f xml:space="preserve"> Calc!G$159</f>
        <v>£m</v>
      </c>
      <c r="H45" s="378">
        <f xml:space="preserve"> Calc!H$159</f>
        <v>0</v>
      </c>
      <c r="I45" s="12">
        <f xml:space="preserve"> Calc!I$159</f>
        <v>0</v>
      </c>
      <c r="J45" s="378">
        <f xml:space="preserve"> Calc!J$159</f>
        <v>0</v>
      </c>
      <c r="K45" s="378">
        <f xml:space="preserve"> Calc!K$159</f>
        <v>0</v>
      </c>
      <c r="L45" s="378">
        <f xml:space="preserve"> Calc!L$159</f>
        <v>0</v>
      </c>
      <c r="M45" s="378">
        <f xml:space="preserve"> Calc!M$159</f>
        <v>0</v>
      </c>
      <c r="N45" s="378">
        <f xml:space="preserve"> Calc!N$159</f>
        <v>0</v>
      </c>
      <c r="O45" s="378">
        <f xml:space="preserve"> Calc!O$159</f>
        <v>0</v>
      </c>
      <c r="P45" s="378">
        <f xml:space="preserve"> Calc!P$159</f>
        <v>0</v>
      </c>
      <c r="Q45" s="378">
        <f xml:space="preserve"> Calc!Q$159</f>
        <v>0</v>
      </c>
      <c r="R45" s="378">
        <f xml:space="preserve"> Calc!R$159</f>
        <v>0</v>
      </c>
      <c r="S45" s="378">
        <f xml:space="preserve"> Calc!S$159</f>
        <v>0</v>
      </c>
      <c r="T45" s="378">
        <f xml:space="preserve"> Calc!T$159</f>
        <v>0</v>
      </c>
      <c r="U45" s="378">
        <f xml:space="preserve"> Calc!U$159</f>
        <v>0</v>
      </c>
      <c r="V45" s="378">
        <f xml:space="preserve"> Calc!V$159</f>
        <v>0</v>
      </c>
    </row>
    <row r="46" spans="1:22">
      <c r="E46" s="12" t="str">
        <f xml:space="preserve"> Calc!E$163</f>
        <v>WRFIM total reward / (penalty) at the end of AMP6 ~ Water network plus at 2017-18 FYA CPIH deflated price base</v>
      </c>
      <c r="F46" s="378">
        <f xml:space="preserve"> Calc!F$163</f>
        <v>9.9800491455560447</v>
      </c>
      <c r="G46" s="12" t="str">
        <f xml:space="preserve"> Calc!G$163</f>
        <v>£m</v>
      </c>
      <c r="H46" s="378">
        <f xml:space="preserve"> Calc!H$163</f>
        <v>0</v>
      </c>
      <c r="I46" s="12">
        <f xml:space="preserve"> Calc!I$163</f>
        <v>0</v>
      </c>
      <c r="J46" s="382">
        <f xml:space="preserve"> Calc!J$163</f>
        <v>0</v>
      </c>
      <c r="K46" s="378">
        <f xml:space="preserve"> Calc!K$163</f>
        <v>0</v>
      </c>
      <c r="L46" s="378">
        <f xml:space="preserve"> Calc!L$163</f>
        <v>0</v>
      </c>
      <c r="M46" s="378">
        <f xml:space="preserve"> Calc!M$163</f>
        <v>0</v>
      </c>
      <c r="N46" s="378">
        <f xml:space="preserve"> Calc!N$163</f>
        <v>0</v>
      </c>
      <c r="O46" s="378">
        <f xml:space="preserve"> Calc!O$163</f>
        <v>0</v>
      </c>
      <c r="P46" s="378">
        <f xml:space="preserve"> Calc!P$163</f>
        <v>0</v>
      </c>
      <c r="Q46" s="378">
        <f xml:space="preserve"> Calc!Q$163</f>
        <v>0</v>
      </c>
      <c r="R46" s="378">
        <f xml:space="preserve"> Calc!R$163</f>
        <v>0</v>
      </c>
      <c r="S46" s="378">
        <f xml:space="preserve"> Calc!S$163</f>
        <v>0</v>
      </c>
      <c r="T46" s="378">
        <f xml:space="preserve"> Calc!T$163</f>
        <v>0</v>
      </c>
      <c r="U46" s="378">
        <f xml:space="preserve"> Calc!U$163</f>
        <v>0</v>
      </c>
      <c r="V46" s="378">
        <f xml:space="preserve"> Calc!V$163</f>
        <v>0</v>
      </c>
    </row>
    <row r="47" spans="1:22">
      <c r="E47" s="12" t="str">
        <f xml:space="preserve"> Calc!E$160</f>
        <v>Water: Totex menu revenue adjustment at 2017-18 FYA CPIH deflated price base</v>
      </c>
      <c r="F47" s="378">
        <f xml:space="preserve"> Calc!F$160</f>
        <v>-8.2827827230531809E-2</v>
      </c>
      <c r="G47" s="12" t="str">
        <f xml:space="preserve"> Calc!G$160</f>
        <v>£m</v>
      </c>
      <c r="H47" s="378">
        <f xml:space="preserve"> Calc!H$160</f>
        <v>0</v>
      </c>
      <c r="I47" s="12">
        <f xml:space="preserve"> Calc!I$160</f>
        <v>0</v>
      </c>
      <c r="J47" s="382">
        <f xml:space="preserve"> Calc!J$160</f>
        <v>0</v>
      </c>
      <c r="K47" s="378">
        <f xml:space="preserve"> Calc!K$160</f>
        <v>0</v>
      </c>
      <c r="L47" s="378">
        <f xml:space="preserve"> Calc!L$160</f>
        <v>0</v>
      </c>
      <c r="M47" s="378">
        <f xml:space="preserve"> Calc!M$160</f>
        <v>0</v>
      </c>
      <c r="N47" s="378">
        <f xml:space="preserve"> Calc!N$160</f>
        <v>0</v>
      </c>
      <c r="O47" s="378">
        <f xml:space="preserve"> Calc!O$160</f>
        <v>0</v>
      </c>
      <c r="P47" s="378">
        <f xml:space="preserve"> Calc!P$160</f>
        <v>0</v>
      </c>
      <c r="Q47" s="378">
        <f xml:space="preserve"> Calc!Q$160</f>
        <v>0</v>
      </c>
      <c r="R47" s="378">
        <f xml:space="preserve"> Calc!R$160</f>
        <v>0</v>
      </c>
      <c r="S47" s="378">
        <f xml:space="preserve"> Calc!S$160</f>
        <v>0</v>
      </c>
      <c r="T47" s="378">
        <f xml:space="preserve"> Calc!T$160</f>
        <v>0</v>
      </c>
      <c r="U47" s="378">
        <f xml:space="preserve"> Calc!U$160</f>
        <v>0</v>
      </c>
      <c r="V47" s="378">
        <f xml:space="preserve"> Calc!V$160</f>
        <v>0</v>
      </c>
    </row>
    <row r="48" spans="1:22">
      <c r="E48" s="12" t="str">
        <f xml:space="preserve"> Calc!E$157</f>
        <v>Further 2010-15 reconciliation total adjustment revenue carry forward to PR19 ~ Water network plus at 2017-18 FYA CPIH deflated price base</v>
      </c>
      <c r="F48" s="378">
        <f xml:space="preserve"> Calc!F$157</f>
        <v>0.99927639045034722</v>
      </c>
      <c r="G48" s="12" t="str">
        <f xml:space="preserve"> Calc!G$157</f>
        <v>£m</v>
      </c>
      <c r="H48" s="378">
        <f xml:space="preserve"> Calc!H$157</f>
        <v>0</v>
      </c>
      <c r="I48" s="12">
        <f xml:space="preserve"> Calc!I$157</f>
        <v>0</v>
      </c>
      <c r="J48" s="382">
        <f xml:space="preserve"> Calc!J$157</f>
        <v>0</v>
      </c>
      <c r="K48" s="378">
        <f xml:space="preserve"> Calc!K$157</f>
        <v>0</v>
      </c>
      <c r="L48" s="378">
        <f xml:space="preserve"> Calc!L$157</f>
        <v>0</v>
      </c>
      <c r="M48" s="378">
        <f xml:space="preserve"> Calc!M$157</f>
        <v>0</v>
      </c>
      <c r="N48" s="378">
        <f xml:space="preserve"> Calc!N$157</f>
        <v>0</v>
      </c>
      <c r="O48" s="378">
        <f xml:space="preserve"> Calc!O$157</f>
        <v>0</v>
      </c>
      <c r="P48" s="378">
        <f xml:space="preserve"> Calc!P$157</f>
        <v>0</v>
      </c>
      <c r="Q48" s="378">
        <f xml:space="preserve"> Calc!Q$157</f>
        <v>0</v>
      </c>
      <c r="R48" s="378">
        <f xml:space="preserve"> Calc!R$157</f>
        <v>0</v>
      </c>
      <c r="S48" s="378">
        <f xml:space="preserve"> Calc!S$157</f>
        <v>0</v>
      </c>
      <c r="T48" s="378">
        <f xml:space="preserve"> Calc!T$157</f>
        <v>0</v>
      </c>
      <c r="U48" s="378">
        <f xml:space="preserve"> Calc!U$157</f>
        <v>0</v>
      </c>
      <c r="V48" s="378">
        <f xml:space="preserve"> Calc!V$157</f>
        <v>0</v>
      </c>
    </row>
    <row r="49" spans="5:22">
      <c r="E49" s="3" t="str">
        <f xml:space="preserve"> E$42</f>
        <v>Water trading total value of incentive ~ Water network at 2017-18 FYA CPIH deflated price base</v>
      </c>
      <c r="F49" s="381">
        <f t="shared" ref="F49:V49" si="24" xml:space="preserve"> F$42</f>
        <v>0</v>
      </c>
      <c r="G49" s="3" t="str">
        <f t="shared" si="24"/>
        <v>£m</v>
      </c>
      <c r="H49" s="3">
        <f t="shared" si="24"/>
        <v>0</v>
      </c>
      <c r="I49" s="3">
        <f t="shared" si="24"/>
        <v>0</v>
      </c>
      <c r="J49" s="381">
        <f t="shared" si="24"/>
        <v>0</v>
      </c>
      <c r="K49" s="381">
        <f xml:space="preserve"> K$42</f>
        <v>0</v>
      </c>
      <c r="L49" s="381">
        <f t="shared" si="24"/>
        <v>0</v>
      </c>
      <c r="M49" s="381">
        <f t="shared" si="24"/>
        <v>0</v>
      </c>
      <c r="N49" s="381">
        <f t="shared" si="24"/>
        <v>0</v>
      </c>
      <c r="O49" s="381">
        <f t="shared" si="24"/>
        <v>0</v>
      </c>
      <c r="P49" s="381">
        <f t="shared" si="24"/>
        <v>0</v>
      </c>
      <c r="Q49" s="381">
        <f t="shared" si="24"/>
        <v>0</v>
      </c>
      <c r="R49" s="381">
        <f t="shared" si="24"/>
        <v>0</v>
      </c>
      <c r="S49" s="381">
        <f t="shared" si="24"/>
        <v>0</v>
      </c>
      <c r="T49" s="381">
        <f t="shared" si="24"/>
        <v>0</v>
      </c>
      <c r="U49" s="381">
        <f t="shared" si="24"/>
        <v>0</v>
      </c>
      <c r="V49" s="381">
        <f t="shared" si="24"/>
        <v>0</v>
      </c>
    </row>
    <row r="50" spans="5:22" ht="4.5" customHeight="1"/>
    <row r="51" spans="5:22">
      <c r="E51" t="str">
        <f t="shared" ref="E51:V51" si="25" xml:space="preserve"> E$38</f>
        <v>Water network profiling proportions</v>
      </c>
      <c r="F51">
        <f t="shared" si="25"/>
        <v>0</v>
      </c>
      <c r="G51" t="str">
        <f t="shared" si="25"/>
        <v>%</v>
      </c>
      <c r="H51">
        <f t="shared" si="25"/>
        <v>0</v>
      </c>
      <c r="I51">
        <f t="shared" si="25"/>
        <v>0</v>
      </c>
      <c r="J51" s="400">
        <f t="shared" si="25"/>
        <v>0</v>
      </c>
      <c r="K51" s="202">
        <f t="shared" si="25"/>
        <v>0</v>
      </c>
      <c r="L51" s="202">
        <f t="shared" si="25"/>
        <v>0</v>
      </c>
      <c r="M51" s="202">
        <f t="shared" si="25"/>
        <v>0</v>
      </c>
      <c r="N51" s="202">
        <f t="shared" si="25"/>
        <v>0</v>
      </c>
      <c r="O51" s="202">
        <f t="shared" si="25"/>
        <v>0</v>
      </c>
      <c r="P51" s="202">
        <f t="shared" si="25"/>
        <v>0</v>
      </c>
      <c r="Q51" s="202">
        <f t="shared" si="25"/>
        <v>0</v>
      </c>
      <c r="R51" s="202">
        <f t="shared" si="25"/>
        <v>0.19999999999999998</v>
      </c>
      <c r="S51" s="202">
        <f t="shared" si="25"/>
        <v>0.20617999999999997</v>
      </c>
      <c r="T51" s="202">
        <f t="shared" si="25"/>
        <v>0.21255096199999995</v>
      </c>
      <c r="U51" s="202">
        <f t="shared" si="25"/>
        <v>0.21913705671565131</v>
      </c>
      <c r="V51" s="202">
        <f t="shared" si="25"/>
        <v>0.22590839176816499</v>
      </c>
    </row>
    <row r="52" spans="5:22" ht="4.5" customHeight="1"/>
    <row r="53" spans="5:22">
      <c r="E53" t="s">
        <v>309</v>
      </c>
      <c r="G53" t="s">
        <v>174</v>
      </c>
      <c r="H53" s="380">
        <f t="shared" ref="H53:H59" si="26" xml:space="preserve"> SUM(J53:V53)</f>
        <v>0</v>
      </c>
      <c r="J53" s="401">
        <f t="shared" ref="J53:J58" si="27" xml:space="preserve"> $F44 * J$51</f>
        <v>0</v>
      </c>
      <c r="K53" s="380">
        <f t="shared" ref="K53:V55" si="28" xml:space="preserve"> $F44 * K$51</f>
        <v>0</v>
      </c>
      <c r="L53" s="380">
        <f t="shared" si="28"/>
        <v>0</v>
      </c>
      <c r="M53" s="380">
        <f t="shared" si="28"/>
        <v>0</v>
      </c>
      <c r="N53" s="380">
        <f t="shared" si="28"/>
        <v>0</v>
      </c>
      <c r="O53" s="380">
        <f t="shared" si="28"/>
        <v>0</v>
      </c>
      <c r="P53" s="380">
        <f t="shared" si="28"/>
        <v>0</v>
      </c>
      <c r="Q53" s="380">
        <f t="shared" si="28"/>
        <v>0</v>
      </c>
      <c r="R53" s="380">
        <f t="shared" ref="R53:R58" si="29" xml:space="preserve"> $F44 * R$51</f>
        <v>0</v>
      </c>
      <c r="S53" s="380">
        <f t="shared" si="28"/>
        <v>0</v>
      </c>
      <c r="T53" s="380">
        <f t="shared" si="28"/>
        <v>0</v>
      </c>
      <c r="U53" s="380">
        <f t="shared" si="28"/>
        <v>0</v>
      </c>
      <c r="V53" s="380">
        <f t="shared" si="28"/>
        <v>0</v>
      </c>
    </row>
    <row r="54" spans="5:22">
      <c r="E54" t="s">
        <v>321</v>
      </c>
      <c r="G54" t="s">
        <v>174</v>
      </c>
      <c r="H54" s="380">
        <f t="shared" si="26"/>
        <v>-15.79988802660114</v>
      </c>
      <c r="J54" s="401">
        <f t="shared" si="27"/>
        <v>0</v>
      </c>
      <c r="K54" s="380">
        <f t="shared" si="28"/>
        <v>0</v>
      </c>
      <c r="L54" s="380">
        <f t="shared" si="28"/>
        <v>0</v>
      </c>
      <c r="M54" s="380">
        <f t="shared" si="28"/>
        <v>0</v>
      </c>
      <c r="N54" s="380">
        <f t="shared" si="28"/>
        <v>0</v>
      </c>
      <c r="O54" s="380">
        <f t="shared" si="28"/>
        <v>0</v>
      </c>
      <c r="P54" s="380">
        <f t="shared" si="28"/>
        <v>0</v>
      </c>
      <c r="Q54" s="380">
        <f t="shared" si="28"/>
        <v>0</v>
      </c>
      <c r="R54" s="380">
        <f t="shared" si="29"/>
        <v>-2.9705279927038784</v>
      </c>
      <c r="S54" s="380">
        <f t="shared" si="28"/>
        <v>-3.0623173076784282</v>
      </c>
      <c r="T54" s="380">
        <f t="shared" si="28"/>
        <v>-3.1569429124856914</v>
      </c>
      <c r="U54" s="380">
        <f t="shared" si="28"/>
        <v>-3.2547638060628987</v>
      </c>
      <c r="V54" s="380">
        <f t="shared" si="28"/>
        <v>-3.355336007670243</v>
      </c>
    </row>
    <row r="55" spans="5:22">
      <c r="E55" t="s">
        <v>331</v>
      </c>
      <c r="G55" t="s">
        <v>174</v>
      </c>
      <c r="H55" s="380">
        <f t="shared" si="26"/>
        <v>10.616540856511687</v>
      </c>
      <c r="J55" s="401">
        <f t="shared" si="27"/>
        <v>0</v>
      </c>
      <c r="K55" s="380">
        <f t="shared" si="28"/>
        <v>0</v>
      </c>
      <c r="L55" s="380">
        <f t="shared" si="28"/>
        <v>0</v>
      </c>
      <c r="M55" s="380">
        <f t="shared" si="28"/>
        <v>0</v>
      </c>
      <c r="N55" s="380">
        <f t="shared" si="28"/>
        <v>0</v>
      </c>
      <c r="O55" s="380">
        <f t="shared" si="28"/>
        <v>0</v>
      </c>
      <c r="P55" s="380">
        <f t="shared" si="28"/>
        <v>0</v>
      </c>
      <c r="Q55" s="380">
        <f t="shared" si="28"/>
        <v>0</v>
      </c>
      <c r="R55" s="380">
        <f t="shared" si="29"/>
        <v>1.9960098291112087</v>
      </c>
      <c r="S55" s="380">
        <f t="shared" si="28"/>
        <v>2.0576865328307452</v>
      </c>
      <c r="T55" s="380">
        <f t="shared" si="28"/>
        <v>2.1212690466952147</v>
      </c>
      <c r="U55" s="380">
        <f t="shared" si="28"/>
        <v>2.1869985956347024</v>
      </c>
      <c r="V55" s="380">
        <f t="shared" si="28"/>
        <v>2.2545768522398153</v>
      </c>
    </row>
    <row r="56" spans="5:22">
      <c r="E56" t="s">
        <v>333</v>
      </c>
      <c r="G56" t="s">
        <v>174</v>
      </c>
      <c r="H56" s="380">
        <f t="shared" si="26"/>
        <v>-8.8110288739468801E-2</v>
      </c>
      <c r="J56" s="401">
        <f t="shared" si="27"/>
        <v>0</v>
      </c>
      <c r="K56" s="380">
        <f t="shared" ref="K56:V56" si="30" xml:space="preserve"> $F47 * K$51</f>
        <v>0</v>
      </c>
      <c r="L56" s="380">
        <f t="shared" si="30"/>
        <v>0</v>
      </c>
      <c r="M56" s="380">
        <f t="shared" si="30"/>
        <v>0</v>
      </c>
      <c r="N56" s="380">
        <f t="shared" si="30"/>
        <v>0</v>
      </c>
      <c r="O56" s="380">
        <f t="shared" si="30"/>
        <v>0</v>
      </c>
      <c r="P56" s="380">
        <f t="shared" si="30"/>
        <v>0</v>
      </c>
      <c r="Q56" s="380">
        <f t="shared" si="30"/>
        <v>0</v>
      </c>
      <c r="R56" s="380">
        <f t="shared" si="29"/>
        <v>-1.6565565446106361E-2</v>
      </c>
      <c r="S56" s="380">
        <f t="shared" si="30"/>
        <v>-1.7077441418391046E-2</v>
      </c>
      <c r="T56" s="380">
        <f t="shared" si="30"/>
        <v>-1.7605134358219327E-2</v>
      </c>
      <c r="U56" s="380">
        <f t="shared" si="30"/>
        <v>-1.8150646273451216E-2</v>
      </c>
      <c r="V56" s="380">
        <f t="shared" si="30"/>
        <v>-1.8711501243300864E-2</v>
      </c>
    </row>
    <row r="57" spans="5:22">
      <c r="E57" t="s">
        <v>303</v>
      </c>
      <c r="G57" t="s">
        <v>174</v>
      </c>
      <c r="H57" s="380">
        <f t="shared" si="26"/>
        <v>1.0630066517144947</v>
      </c>
      <c r="J57" s="401">
        <f t="shared" si="27"/>
        <v>0</v>
      </c>
      <c r="K57" s="380">
        <f t="shared" ref="K57:V57" si="31" xml:space="preserve"> $F48 * K$51</f>
        <v>0</v>
      </c>
      <c r="L57" s="380">
        <f t="shared" si="31"/>
        <v>0</v>
      </c>
      <c r="M57" s="380">
        <f t="shared" si="31"/>
        <v>0</v>
      </c>
      <c r="N57" s="380">
        <f t="shared" si="31"/>
        <v>0</v>
      </c>
      <c r="O57" s="380">
        <f t="shared" si="31"/>
        <v>0</v>
      </c>
      <c r="P57" s="380">
        <f t="shared" si="31"/>
        <v>0</v>
      </c>
      <c r="Q57" s="380">
        <f t="shared" si="31"/>
        <v>0</v>
      </c>
      <c r="R57" s="380">
        <f t="shared" si="29"/>
        <v>0.19985527809006942</v>
      </c>
      <c r="S57" s="380">
        <f t="shared" si="31"/>
        <v>0.20603080618305256</v>
      </c>
      <c r="T57" s="380">
        <f t="shared" si="31"/>
        <v>0.21239715809410886</v>
      </c>
      <c r="U57" s="380">
        <f t="shared" si="31"/>
        <v>0.21897848704872908</v>
      </c>
      <c r="V57" s="380">
        <f t="shared" si="31"/>
        <v>0.22574492229853485</v>
      </c>
    </row>
    <row r="58" spans="5:22">
      <c r="E58" t="s">
        <v>392</v>
      </c>
      <c r="G58" t="s">
        <v>174</v>
      </c>
      <c r="H58" s="380">
        <f t="shared" si="26"/>
        <v>0</v>
      </c>
      <c r="J58" s="401">
        <f t="shared" si="27"/>
        <v>0</v>
      </c>
      <c r="K58" s="380">
        <f t="shared" ref="K58:V58" si="32" xml:space="preserve"> $F49 * K$51</f>
        <v>0</v>
      </c>
      <c r="L58" s="380">
        <f t="shared" si="32"/>
        <v>0</v>
      </c>
      <c r="M58" s="380">
        <f t="shared" si="32"/>
        <v>0</v>
      </c>
      <c r="N58" s="380">
        <f t="shared" si="32"/>
        <v>0</v>
      </c>
      <c r="O58" s="380">
        <f t="shared" si="32"/>
        <v>0</v>
      </c>
      <c r="P58" s="380">
        <f t="shared" si="32"/>
        <v>0</v>
      </c>
      <c r="Q58" s="380">
        <f t="shared" si="32"/>
        <v>0</v>
      </c>
      <c r="R58" s="380">
        <f t="shared" si="29"/>
        <v>0</v>
      </c>
      <c r="S58" s="380">
        <f t="shared" si="32"/>
        <v>0</v>
      </c>
      <c r="T58" s="380">
        <f t="shared" si="32"/>
        <v>0</v>
      </c>
      <c r="U58" s="380">
        <f t="shared" si="32"/>
        <v>0</v>
      </c>
      <c r="V58" s="380">
        <f t="shared" si="32"/>
        <v>0</v>
      </c>
    </row>
    <row r="59" spans="5:22">
      <c r="E59" s="376" t="s">
        <v>867</v>
      </c>
      <c r="F59" s="376"/>
      <c r="G59" s="376" t="s">
        <v>174</v>
      </c>
      <c r="H59" s="379">
        <f t="shared" si="26"/>
        <v>-4.2084508071144278</v>
      </c>
      <c r="I59" s="376"/>
      <c r="J59" s="398">
        <f xml:space="preserve"> SUM(J53:J58)</f>
        <v>0</v>
      </c>
      <c r="K59" s="379">
        <f t="shared" ref="K59:Q59" si="33" xml:space="preserve"> SUM(K53:K58)</f>
        <v>0</v>
      </c>
      <c r="L59" s="379">
        <f t="shared" si="33"/>
        <v>0</v>
      </c>
      <c r="M59" s="379">
        <f t="shared" si="33"/>
        <v>0</v>
      </c>
      <c r="N59" s="379">
        <f t="shared" si="33"/>
        <v>0</v>
      </c>
      <c r="O59" s="379">
        <f t="shared" si="33"/>
        <v>0</v>
      </c>
      <c r="P59" s="379">
        <f t="shared" si="33"/>
        <v>0</v>
      </c>
      <c r="Q59" s="379">
        <f t="shared" si="33"/>
        <v>0</v>
      </c>
      <c r="R59" s="379">
        <f xml:space="preserve"> SUM(R53:R58)</f>
        <v>-0.79122845094870653</v>
      </c>
      <c r="S59" s="379">
        <f t="shared" ref="S59:V59" si="34" xml:space="preserve"> SUM(S53:S58)</f>
        <v>-0.81567741008302141</v>
      </c>
      <c r="T59" s="379">
        <f t="shared" si="34"/>
        <v>-0.84088184205458716</v>
      </c>
      <c r="U59" s="379">
        <f t="shared" si="34"/>
        <v>-0.86693736965291857</v>
      </c>
      <c r="V59" s="379">
        <f t="shared" si="34"/>
        <v>-0.89372573437519365</v>
      </c>
    </row>
    <row r="60" spans="5:22">
      <c r="H60" s="380"/>
    </row>
    <row r="61" spans="5:22">
      <c r="E61" t="str">
        <f xml:space="preserve"> E$37</f>
        <v>Water network revenue adjustment active</v>
      </c>
      <c r="F61">
        <f xml:space="preserve"> F$37</f>
        <v>0</v>
      </c>
      <c r="G61" t="str">
        <f t="shared" ref="G61:V61" si="35" xml:space="preserve"> G$37</f>
        <v>£m</v>
      </c>
      <c r="H61" s="380">
        <f t="shared" si="35"/>
        <v>-4.2084508071144269</v>
      </c>
      <c r="I61">
        <f t="shared" si="35"/>
        <v>0</v>
      </c>
      <c r="J61" s="380">
        <f xml:space="preserve"> J$37</f>
        <v>0</v>
      </c>
      <c r="K61" s="380">
        <f t="shared" si="35"/>
        <v>0</v>
      </c>
      <c r="L61" s="380">
        <f t="shared" si="35"/>
        <v>0</v>
      </c>
      <c r="M61" s="380">
        <f t="shared" si="35"/>
        <v>0</v>
      </c>
      <c r="N61" s="380">
        <f t="shared" si="35"/>
        <v>0</v>
      </c>
      <c r="O61" s="380">
        <f t="shared" si="35"/>
        <v>0</v>
      </c>
      <c r="P61" s="380">
        <f t="shared" si="35"/>
        <v>0</v>
      </c>
      <c r="Q61" s="380">
        <f t="shared" si="35"/>
        <v>0</v>
      </c>
      <c r="R61" s="380">
        <f xml:space="preserve"> R$37</f>
        <v>-0.79122845094870653</v>
      </c>
      <c r="S61" s="380">
        <f t="shared" si="35"/>
        <v>-0.81567741008302153</v>
      </c>
      <c r="T61" s="380">
        <f t="shared" si="35"/>
        <v>-0.84088184205458683</v>
      </c>
      <c r="U61" s="380">
        <f t="shared" si="35"/>
        <v>-0.86693736965291823</v>
      </c>
      <c r="V61" s="380">
        <f t="shared" si="35"/>
        <v>-0.89372573437519354</v>
      </c>
    </row>
    <row r="62" spans="5:22">
      <c r="E62" t="str">
        <f xml:space="preserve"> E$59</f>
        <v>Total water network revenue adjustments</v>
      </c>
      <c r="F62">
        <f xml:space="preserve"> F$59</f>
        <v>0</v>
      </c>
      <c r="G62" t="str">
        <f t="shared" ref="G62:V62" si="36" xml:space="preserve"> G$59</f>
        <v>£m</v>
      </c>
      <c r="H62" s="380">
        <f t="shared" si="36"/>
        <v>-4.2084508071144278</v>
      </c>
      <c r="I62">
        <f t="shared" si="36"/>
        <v>0</v>
      </c>
      <c r="J62" s="380">
        <f xml:space="preserve"> J$59</f>
        <v>0</v>
      </c>
      <c r="K62" s="380">
        <f t="shared" si="36"/>
        <v>0</v>
      </c>
      <c r="L62" s="380">
        <f t="shared" si="36"/>
        <v>0</v>
      </c>
      <c r="M62" s="380">
        <f t="shared" si="36"/>
        <v>0</v>
      </c>
      <c r="N62" s="380">
        <f t="shared" si="36"/>
        <v>0</v>
      </c>
      <c r="O62" s="380">
        <f t="shared" si="36"/>
        <v>0</v>
      </c>
      <c r="P62" s="380">
        <f t="shared" si="36"/>
        <v>0</v>
      </c>
      <c r="Q62" s="380">
        <f t="shared" si="36"/>
        <v>0</v>
      </c>
      <c r="R62" s="380">
        <f xml:space="preserve"> R$59</f>
        <v>-0.79122845094870653</v>
      </c>
      <c r="S62" s="380">
        <f t="shared" si="36"/>
        <v>-0.81567741008302141</v>
      </c>
      <c r="T62" s="380">
        <f t="shared" si="36"/>
        <v>-0.84088184205458716</v>
      </c>
      <c r="U62" s="380">
        <f t="shared" si="36"/>
        <v>-0.86693736965291857</v>
      </c>
      <c r="V62" s="380">
        <f t="shared" si="36"/>
        <v>-0.89372573437519365</v>
      </c>
    </row>
    <row r="63" spans="5:22">
      <c r="E63" t="s">
        <v>868</v>
      </c>
      <c r="F63" s="134">
        <f xml:space="preserve"> IF(SUM(J63:V63)&lt;&gt;0, 1, 0)</f>
        <v>1</v>
      </c>
      <c r="G63" t="s">
        <v>863</v>
      </c>
      <c r="J63">
        <f t="shared" ref="J63:V63" si="37" xml:space="preserve"> IF(J61 = J62, 0, 1)</f>
        <v>0</v>
      </c>
      <c r="K63">
        <f t="shared" si="37"/>
        <v>0</v>
      </c>
      <c r="L63">
        <f t="shared" si="37"/>
        <v>0</v>
      </c>
      <c r="M63">
        <f t="shared" si="37"/>
        <v>0</v>
      </c>
      <c r="N63">
        <f t="shared" si="37"/>
        <v>0</v>
      </c>
      <c r="O63">
        <f t="shared" si="37"/>
        <v>0</v>
      </c>
      <c r="P63">
        <f t="shared" si="37"/>
        <v>0</v>
      </c>
      <c r="Q63">
        <f t="shared" si="37"/>
        <v>0</v>
      </c>
      <c r="R63">
        <f t="shared" si="37"/>
        <v>0</v>
      </c>
      <c r="S63">
        <f t="shared" si="37"/>
        <v>1</v>
      </c>
      <c r="T63">
        <f t="shared" si="37"/>
        <v>0</v>
      </c>
      <c r="U63">
        <f t="shared" si="37"/>
        <v>1</v>
      </c>
      <c r="V63">
        <f t="shared" si="37"/>
        <v>0</v>
      </c>
    </row>
    <row r="67" spans="1:22" ht="12.75" customHeight="1">
      <c r="A67" s="39" t="s">
        <v>869</v>
      </c>
      <c r="B67" s="39"/>
      <c r="C67" s="40"/>
      <c r="D67" s="39"/>
      <c r="E67" s="39"/>
      <c r="F67" s="39"/>
      <c r="G67" s="39"/>
      <c r="H67" s="39"/>
      <c r="I67" s="39"/>
      <c r="J67" s="39"/>
      <c r="K67" s="39"/>
      <c r="L67" s="39"/>
      <c r="M67" s="39"/>
      <c r="N67" s="39"/>
      <c r="O67" s="39"/>
      <c r="P67" s="39"/>
      <c r="Q67" s="39"/>
      <c r="R67" s="39"/>
      <c r="S67" s="39"/>
      <c r="T67" s="39"/>
      <c r="U67" s="39"/>
      <c r="V67" s="39"/>
    </row>
    <row r="69" spans="1:22">
      <c r="E69" s="382" t="str">
        <f xml:space="preserve"> Calc!E$211</f>
        <v>Wastewater network plus revenue adjustment</v>
      </c>
      <c r="F69" s="382">
        <f xml:space="preserve"> Calc!F$211</f>
        <v>0</v>
      </c>
      <c r="G69" s="378" t="str">
        <f xml:space="preserve"> Calc!G$211</f>
        <v>£m</v>
      </c>
      <c r="H69" s="378">
        <f xml:space="preserve"> Calc!H$211</f>
        <v>0</v>
      </c>
      <c r="I69" s="378">
        <f xml:space="preserve"> Calc!I$211</f>
        <v>0</v>
      </c>
      <c r="J69" s="382">
        <f xml:space="preserve"> Calc!J$211</f>
        <v>0</v>
      </c>
      <c r="K69" s="378">
        <f xml:space="preserve"> Calc!K$211</f>
        <v>0</v>
      </c>
      <c r="L69" s="378">
        <f xml:space="preserve"> Calc!L$211</f>
        <v>0</v>
      </c>
      <c r="M69" s="378">
        <f xml:space="preserve"> Calc!M$211</f>
        <v>0</v>
      </c>
      <c r="N69" s="378">
        <f xml:space="preserve"> Calc!N$211</f>
        <v>0</v>
      </c>
      <c r="O69" s="378">
        <f xml:space="preserve"> Calc!O$211</f>
        <v>0</v>
      </c>
      <c r="P69" s="378">
        <f xml:space="preserve"> Calc!P$211</f>
        <v>0</v>
      </c>
      <c r="Q69" s="378">
        <f xml:space="preserve"> Calc!Q$211</f>
        <v>0</v>
      </c>
      <c r="R69" s="378">
        <f xml:space="preserve"> Calc!R$211</f>
        <v>0</v>
      </c>
      <c r="S69" s="378">
        <f xml:space="preserve"> Calc!S$211</f>
        <v>0</v>
      </c>
      <c r="T69" s="378">
        <f xml:space="preserve"> Calc!T$211</f>
        <v>0</v>
      </c>
      <c r="U69" s="378">
        <f xml:space="preserve"> Calc!U$211</f>
        <v>0</v>
      </c>
      <c r="V69" s="378">
        <f xml:space="preserve"> Calc!V$211</f>
        <v>0</v>
      </c>
    </row>
    <row r="70" spans="1:22">
      <c r="E70" s="382" t="str">
        <f xml:space="preserve"> Profiling!E$244</f>
        <v>Wastewater network revenue adjustment active</v>
      </c>
      <c r="F70" s="378">
        <f xml:space="preserve"> Profiling!F$244</f>
        <v>0</v>
      </c>
      <c r="G70" s="378" t="str">
        <f xml:space="preserve"> Profiling!G$244</f>
        <v>£m</v>
      </c>
      <c r="H70" s="378">
        <f xml:space="preserve"> Profiling!H$244</f>
        <v>0</v>
      </c>
      <c r="I70" s="378">
        <f xml:space="preserve"> Profiling!I$244</f>
        <v>0</v>
      </c>
      <c r="J70" s="382">
        <f xml:space="preserve"> Profiling!J$244</f>
        <v>0</v>
      </c>
      <c r="K70" s="378">
        <f xml:space="preserve"> Profiling!K$244</f>
        <v>0</v>
      </c>
      <c r="L70" s="378">
        <f xml:space="preserve"> Profiling!L$244</f>
        <v>0</v>
      </c>
      <c r="M70" s="378">
        <f xml:space="preserve"> Profiling!M$244</f>
        <v>0</v>
      </c>
      <c r="N70" s="378">
        <f xml:space="preserve"> Profiling!N$244</f>
        <v>0</v>
      </c>
      <c r="O70" s="378">
        <f xml:space="preserve"> Profiling!O$244</f>
        <v>0</v>
      </c>
      <c r="P70" s="378">
        <f xml:space="preserve"> Profiling!P$244</f>
        <v>0</v>
      </c>
      <c r="Q70" s="378">
        <f xml:space="preserve"> Profiling!Q$244</f>
        <v>0</v>
      </c>
      <c r="R70" s="378">
        <f xml:space="preserve"> Profiling!R$244</f>
        <v>0</v>
      </c>
      <c r="S70" s="378">
        <f xml:space="preserve"> Profiling!S$244</f>
        <v>0</v>
      </c>
      <c r="T70" s="378">
        <f xml:space="preserve"> Profiling!T$244</f>
        <v>0</v>
      </c>
      <c r="U70" s="378">
        <f xml:space="preserve"> Profiling!U$244</f>
        <v>0</v>
      </c>
      <c r="V70" s="378">
        <f xml:space="preserve"> Profiling!V$244</f>
        <v>0</v>
      </c>
    </row>
    <row r="71" spans="1:22">
      <c r="E71" s="335" t="s">
        <v>870</v>
      </c>
      <c r="F71" s="380"/>
      <c r="G71" t="s">
        <v>273</v>
      </c>
      <c r="J71" s="402">
        <f>IF(J70 = 0, 0, J70/$F69)</f>
        <v>0</v>
      </c>
      <c r="K71" s="202">
        <f t="shared" ref="K71:V71" si="38">IF(K70 = 0, 0, K70/$F69)</f>
        <v>0</v>
      </c>
      <c r="L71" s="202">
        <f t="shared" si="38"/>
        <v>0</v>
      </c>
      <c r="M71" s="202">
        <f t="shared" si="38"/>
        <v>0</v>
      </c>
      <c r="N71" s="202">
        <f t="shared" si="38"/>
        <v>0</v>
      </c>
      <c r="O71" s="202">
        <f t="shared" si="38"/>
        <v>0</v>
      </c>
      <c r="P71" s="202">
        <f t="shared" si="38"/>
        <v>0</v>
      </c>
      <c r="Q71" s="202">
        <f t="shared" si="38"/>
        <v>0</v>
      </c>
      <c r="R71" s="202">
        <f t="shared" si="38"/>
        <v>0</v>
      </c>
      <c r="S71" s="202">
        <f t="shared" si="38"/>
        <v>0</v>
      </c>
      <c r="T71" s="202">
        <f t="shared" si="38"/>
        <v>0</v>
      </c>
      <c r="U71" s="202">
        <f t="shared" si="38"/>
        <v>0</v>
      </c>
      <c r="V71" s="202">
        <f t="shared" si="38"/>
        <v>0</v>
      </c>
    </row>
    <row r="72" spans="1:22">
      <c r="F72" s="380"/>
    </row>
    <row r="73" spans="1:22">
      <c r="E73" s="382" t="str">
        <f xml:space="preserve"> Calc!E$167</f>
        <v>ODI in-period revenue adjustment ~ Wastewater network plus at 2017-18 FYA CPIH deflated price base</v>
      </c>
      <c r="F73" s="382">
        <f xml:space="preserve"> Calc!F$167</f>
        <v>0</v>
      </c>
      <c r="G73" s="378" t="str">
        <f xml:space="preserve"> Calc!G$167</f>
        <v>£m</v>
      </c>
      <c r="H73" s="378">
        <f xml:space="preserve"> Calc!H$167</f>
        <v>0</v>
      </c>
      <c r="I73" s="378">
        <f xml:space="preserve"> Calc!I$167</f>
        <v>0</v>
      </c>
      <c r="J73" s="378">
        <f xml:space="preserve"> Calc!J$167</f>
        <v>0</v>
      </c>
      <c r="K73" s="378">
        <f xml:space="preserve"> Calc!K$167</f>
        <v>0</v>
      </c>
      <c r="L73" s="378">
        <f xml:space="preserve"> Calc!L$167</f>
        <v>0</v>
      </c>
      <c r="M73" s="378">
        <f xml:space="preserve"> Calc!M$167</f>
        <v>0</v>
      </c>
      <c r="N73" s="378">
        <f xml:space="preserve"> Calc!N$167</f>
        <v>0</v>
      </c>
      <c r="O73" s="378">
        <f xml:space="preserve"> Calc!O$167</f>
        <v>0</v>
      </c>
      <c r="P73" s="378">
        <f xml:space="preserve"> Calc!P$167</f>
        <v>0</v>
      </c>
      <c r="Q73" s="378">
        <f xml:space="preserve"> Calc!Q$167</f>
        <v>0</v>
      </c>
      <c r="R73" s="378">
        <f xml:space="preserve"> Calc!R$167</f>
        <v>0</v>
      </c>
      <c r="S73" s="378">
        <f xml:space="preserve"> Calc!S$167</f>
        <v>0</v>
      </c>
      <c r="T73" s="378">
        <f xml:space="preserve"> Calc!T$167</f>
        <v>0</v>
      </c>
      <c r="U73" s="378">
        <f xml:space="preserve"> Calc!U$167</f>
        <v>0</v>
      </c>
      <c r="V73" s="378">
        <f xml:space="preserve"> Calc!V$167</f>
        <v>0</v>
      </c>
    </row>
    <row r="74" spans="1:22">
      <c r="E74" s="378" t="str">
        <f xml:space="preserve"> Calc!E$168</f>
        <v>ODI end of period revenue adjustment ~ Wastewater network plus at 2017-18 FYA CPIH deflated price base</v>
      </c>
      <c r="F74" s="378">
        <f xml:space="preserve"> Calc!F$168</f>
        <v>0</v>
      </c>
      <c r="G74" s="378" t="str">
        <f xml:space="preserve"> Calc!G$168</f>
        <v>£m</v>
      </c>
      <c r="H74" s="378">
        <f xml:space="preserve"> Calc!H$168</f>
        <v>0</v>
      </c>
      <c r="I74" s="378">
        <f xml:space="preserve"> Calc!I$168</f>
        <v>0</v>
      </c>
      <c r="J74" s="378">
        <f xml:space="preserve"> Calc!J$168</f>
        <v>0</v>
      </c>
      <c r="K74" s="378">
        <f xml:space="preserve"> Calc!K$168</f>
        <v>0</v>
      </c>
      <c r="L74" s="378">
        <f xml:space="preserve"> Calc!L$168</f>
        <v>0</v>
      </c>
      <c r="M74" s="378">
        <f xml:space="preserve"> Calc!M$168</f>
        <v>0</v>
      </c>
      <c r="N74" s="378">
        <f xml:space="preserve"> Calc!N$168</f>
        <v>0</v>
      </c>
      <c r="O74" s="378">
        <f xml:space="preserve"> Calc!O$168</f>
        <v>0</v>
      </c>
      <c r="P74" s="378">
        <f xml:space="preserve"> Calc!P$168</f>
        <v>0</v>
      </c>
      <c r="Q74" s="378">
        <f xml:space="preserve"> Calc!Q$168</f>
        <v>0</v>
      </c>
      <c r="R74" s="378">
        <f xml:space="preserve"> Calc!R$168</f>
        <v>0</v>
      </c>
      <c r="S74" s="378">
        <f xml:space="preserve"> Calc!S$168</f>
        <v>0</v>
      </c>
      <c r="T74" s="378">
        <f xml:space="preserve"> Calc!T$168</f>
        <v>0</v>
      </c>
      <c r="U74" s="378">
        <f xml:space="preserve"> Calc!U$168</f>
        <v>0</v>
      </c>
      <c r="V74" s="378">
        <f xml:space="preserve"> Calc!V$168</f>
        <v>0</v>
      </c>
    </row>
    <row r="75" spans="1:22">
      <c r="E75" s="378" t="str">
        <f xml:space="preserve"> Calc!E$170</f>
        <v>WRFIM total reward / (penalty) at the end of AMP6 ~ Wastewater network plus at 2017-18 FYA CPIH deflated price base</v>
      </c>
      <c r="F75" s="378">
        <f xml:space="preserve"> Calc!F$170</f>
        <v>0</v>
      </c>
      <c r="G75" s="378" t="str">
        <f xml:space="preserve"> Calc!G$170</f>
        <v>£m</v>
      </c>
      <c r="H75" s="378">
        <f xml:space="preserve"> Calc!H$170</f>
        <v>0</v>
      </c>
      <c r="I75" s="378">
        <f xml:space="preserve"> Calc!I$170</f>
        <v>0</v>
      </c>
      <c r="J75" s="378">
        <f xml:space="preserve"> Calc!J$170</f>
        <v>0</v>
      </c>
      <c r="K75" s="378">
        <f xml:space="preserve"> Calc!K$170</f>
        <v>0</v>
      </c>
      <c r="L75" s="378">
        <f xml:space="preserve"> Calc!L$170</f>
        <v>0</v>
      </c>
      <c r="M75" s="378">
        <f xml:space="preserve"> Calc!M$170</f>
        <v>0</v>
      </c>
      <c r="N75" s="378">
        <f xml:space="preserve"> Calc!N$170</f>
        <v>0</v>
      </c>
      <c r="O75" s="378">
        <f xml:space="preserve"> Calc!O$170</f>
        <v>0</v>
      </c>
      <c r="P75" s="378">
        <f xml:space="preserve"> Calc!P$170</f>
        <v>0</v>
      </c>
      <c r="Q75" s="378">
        <f xml:space="preserve"> Calc!Q$170</f>
        <v>0</v>
      </c>
      <c r="R75" s="378">
        <f xml:space="preserve"> Calc!R$170</f>
        <v>0</v>
      </c>
      <c r="S75" s="378">
        <f xml:space="preserve"> Calc!S$170</f>
        <v>0</v>
      </c>
      <c r="T75" s="378">
        <f xml:space="preserve"> Calc!T$170</f>
        <v>0</v>
      </c>
      <c r="U75" s="378">
        <f xml:space="preserve"> Calc!U$170</f>
        <v>0</v>
      </c>
      <c r="V75" s="378">
        <f xml:space="preserve"> Calc!V$170</f>
        <v>0</v>
      </c>
    </row>
    <row r="76" spans="1:22">
      <c r="E76" s="378" t="str">
        <f xml:space="preserve"> Calc!E$169</f>
        <v>Wastewater: Totex menu revenue adjustment at 2017-18 FYA CPIH deflated price base</v>
      </c>
      <c r="F76" s="378">
        <f xml:space="preserve"> Calc!F$169</f>
        <v>0</v>
      </c>
      <c r="G76" s="378" t="str">
        <f xml:space="preserve"> Calc!G$169</f>
        <v>£m</v>
      </c>
      <c r="H76" s="378">
        <f xml:space="preserve"> Calc!H$169</f>
        <v>0</v>
      </c>
      <c r="I76" s="378">
        <f xml:space="preserve"> Calc!I$169</f>
        <v>0</v>
      </c>
      <c r="J76" s="378">
        <f xml:space="preserve"> Calc!J$169</f>
        <v>0</v>
      </c>
      <c r="K76" s="378">
        <f xml:space="preserve"> Calc!K$169</f>
        <v>0</v>
      </c>
      <c r="L76" s="378">
        <f xml:space="preserve"> Calc!L$169</f>
        <v>0</v>
      </c>
      <c r="M76" s="378">
        <f xml:space="preserve"> Calc!M$169</f>
        <v>0</v>
      </c>
      <c r="N76" s="378">
        <f xml:space="preserve"> Calc!N$169</f>
        <v>0</v>
      </c>
      <c r="O76" s="378">
        <f xml:space="preserve"> Calc!O$169</f>
        <v>0</v>
      </c>
      <c r="P76" s="378">
        <f xml:space="preserve"> Calc!P$169</f>
        <v>0</v>
      </c>
      <c r="Q76" s="378">
        <f xml:space="preserve"> Calc!Q$169</f>
        <v>0</v>
      </c>
      <c r="R76" s="378">
        <f xml:space="preserve"> Calc!R$169</f>
        <v>0</v>
      </c>
      <c r="S76" s="378">
        <f xml:space="preserve"> Calc!S$169</f>
        <v>0</v>
      </c>
      <c r="T76" s="378">
        <f xml:space="preserve"> Calc!T$169</f>
        <v>0</v>
      </c>
      <c r="U76" s="378">
        <f xml:space="preserve"> Calc!U$169</f>
        <v>0</v>
      </c>
      <c r="V76" s="378">
        <f xml:space="preserve"> Calc!V$169</f>
        <v>0</v>
      </c>
    </row>
    <row r="77" spans="1:22">
      <c r="E77" s="382" t="str">
        <f xml:space="preserve"> Calc!E$166</f>
        <v>Further 2010-15 reconciliation total adjustment revenue carry forward to PR19 ~ Wastewater network plus at 2017-18 FYA CPIH deflated price base</v>
      </c>
      <c r="F77" s="378">
        <f xml:space="preserve"> Calc!F$166</f>
        <v>0</v>
      </c>
      <c r="G77" s="378" t="str">
        <f xml:space="preserve"> Calc!G$166</f>
        <v>£m</v>
      </c>
      <c r="H77" s="378">
        <f xml:space="preserve"> Calc!H$166</f>
        <v>0</v>
      </c>
      <c r="I77" s="378">
        <f xml:space="preserve"> Calc!I$166</f>
        <v>0</v>
      </c>
      <c r="J77" s="378">
        <f xml:space="preserve"> Calc!J$166</f>
        <v>0</v>
      </c>
      <c r="K77" s="378">
        <f xml:space="preserve"> Calc!K$166</f>
        <v>0</v>
      </c>
      <c r="L77" s="378">
        <f xml:space="preserve"> Calc!L$166</f>
        <v>0</v>
      </c>
      <c r="M77" s="378">
        <f xml:space="preserve"> Calc!M$166</f>
        <v>0</v>
      </c>
      <c r="N77" s="378">
        <f xml:space="preserve"> Calc!N$166</f>
        <v>0</v>
      </c>
      <c r="O77" s="378">
        <f xml:space="preserve"> Calc!O$166</f>
        <v>0</v>
      </c>
      <c r="P77" s="378">
        <f xml:space="preserve"> Calc!P$166</f>
        <v>0</v>
      </c>
      <c r="Q77" s="378">
        <f xml:space="preserve"> Calc!Q$166</f>
        <v>0</v>
      </c>
      <c r="R77" s="378">
        <f xml:space="preserve"> Calc!R$166</f>
        <v>0</v>
      </c>
      <c r="S77" s="378">
        <f xml:space="preserve"> Calc!S$166</f>
        <v>0</v>
      </c>
      <c r="T77" s="378">
        <f xml:space="preserve"> Calc!T$166</f>
        <v>0</v>
      </c>
      <c r="U77" s="378">
        <f xml:space="preserve"> Calc!U$166</f>
        <v>0</v>
      </c>
      <c r="V77" s="378">
        <f xml:space="preserve"> Calc!V$166</f>
        <v>0</v>
      </c>
    </row>
    <row r="78" spans="1:22" ht="6" customHeight="1"/>
    <row r="79" spans="1:22">
      <c r="E79" s="335" t="str">
        <f t="shared" ref="E79:V79" si="39" xml:space="preserve"> E$71</f>
        <v>Wastewater network profiling proportions</v>
      </c>
      <c r="F79">
        <f t="shared" si="39"/>
        <v>0</v>
      </c>
      <c r="G79" t="str">
        <f t="shared" si="39"/>
        <v>%</v>
      </c>
      <c r="H79">
        <f t="shared" si="39"/>
        <v>0</v>
      </c>
      <c r="I79">
        <f t="shared" si="39"/>
        <v>0</v>
      </c>
      <c r="J79" s="400">
        <f t="shared" si="39"/>
        <v>0</v>
      </c>
      <c r="K79" s="202">
        <f t="shared" si="39"/>
        <v>0</v>
      </c>
      <c r="L79" s="202">
        <f t="shared" si="39"/>
        <v>0</v>
      </c>
      <c r="M79" s="202">
        <f t="shared" si="39"/>
        <v>0</v>
      </c>
      <c r="N79" s="202">
        <f t="shared" si="39"/>
        <v>0</v>
      </c>
      <c r="O79" s="202">
        <f t="shared" si="39"/>
        <v>0</v>
      </c>
      <c r="P79" s="202">
        <f t="shared" si="39"/>
        <v>0</v>
      </c>
      <c r="Q79" s="202">
        <f t="shared" si="39"/>
        <v>0</v>
      </c>
      <c r="R79" s="202">
        <f t="shared" si="39"/>
        <v>0</v>
      </c>
      <c r="S79" s="202">
        <f t="shared" si="39"/>
        <v>0</v>
      </c>
      <c r="T79" s="202">
        <f t="shared" si="39"/>
        <v>0</v>
      </c>
      <c r="U79" s="202">
        <f t="shared" si="39"/>
        <v>0</v>
      </c>
      <c r="V79" s="202">
        <f t="shared" si="39"/>
        <v>0</v>
      </c>
    </row>
    <row r="80" spans="1:22" ht="6" customHeight="1"/>
    <row r="81" spans="1:22">
      <c r="E81" s="335" t="s">
        <v>871</v>
      </c>
      <c r="G81" t="s">
        <v>174</v>
      </c>
      <c r="H81" s="380">
        <f t="shared" ref="H81:H86" si="40" xml:space="preserve"> SUM(J81:V81)</f>
        <v>0</v>
      </c>
      <c r="J81" s="401">
        <f t="shared" ref="J81:V81" si="41" xml:space="preserve"> $F73 * J$79</f>
        <v>0</v>
      </c>
      <c r="K81" s="380">
        <f t="shared" si="41"/>
        <v>0</v>
      </c>
      <c r="L81" s="380">
        <f t="shared" si="41"/>
        <v>0</v>
      </c>
      <c r="M81" s="380">
        <f t="shared" si="41"/>
        <v>0</v>
      </c>
      <c r="N81" s="380">
        <f t="shared" si="41"/>
        <v>0</v>
      </c>
      <c r="O81" s="380">
        <f t="shared" si="41"/>
        <v>0</v>
      </c>
      <c r="P81" s="380">
        <f t="shared" si="41"/>
        <v>0</v>
      </c>
      <c r="Q81" s="380">
        <f t="shared" si="41"/>
        <v>0</v>
      </c>
      <c r="R81" s="380">
        <f t="shared" si="41"/>
        <v>0</v>
      </c>
      <c r="S81" s="380">
        <f t="shared" si="41"/>
        <v>0</v>
      </c>
      <c r="T81" s="380">
        <f t="shared" si="41"/>
        <v>0</v>
      </c>
      <c r="U81" s="380">
        <f t="shared" si="41"/>
        <v>0</v>
      </c>
      <c r="V81" s="380">
        <f t="shared" si="41"/>
        <v>0</v>
      </c>
    </row>
    <row r="82" spans="1:22">
      <c r="E82" s="335" t="s">
        <v>872</v>
      </c>
      <c r="G82" t="s">
        <v>174</v>
      </c>
      <c r="H82" s="380">
        <f t="shared" si="40"/>
        <v>0</v>
      </c>
      <c r="J82" s="401">
        <f t="shared" ref="J82:V82" si="42" xml:space="preserve"> $F74 * J$79</f>
        <v>0</v>
      </c>
      <c r="K82" s="380">
        <f t="shared" si="42"/>
        <v>0</v>
      </c>
      <c r="L82" s="380">
        <f t="shared" si="42"/>
        <v>0</v>
      </c>
      <c r="M82" s="380">
        <f t="shared" si="42"/>
        <v>0</v>
      </c>
      <c r="N82" s="380">
        <f t="shared" si="42"/>
        <v>0</v>
      </c>
      <c r="O82" s="380">
        <f t="shared" si="42"/>
        <v>0</v>
      </c>
      <c r="P82" s="380">
        <f t="shared" si="42"/>
        <v>0</v>
      </c>
      <c r="Q82" s="380">
        <f t="shared" si="42"/>
        <v>0</v>
      </c>
      <c r="R82" s="380">
        <f t="shared" si="42"/>
        <v>0</v>
      </c>
      <c r="S82" s="380">
        <f t="shared" si="42"/>
        <v>0</v>
      </c>
      <c r="T82" s="380">
        <f t="shared" si="42"/>
        <v>0</v>
      </c>
      <c r="U82" s="380">
        <f t="shared" si="42"/>
        <v>0</v>
      </c>
      <c r="V82" s="380">
        <f t="shared" si="42"/>
        <v>0</v>
      </c>
    </row>
    <row r="83" spans="1:22">
      <c r="E83" s="335" t="s">
        <v>873</v>
      </c>
      <c r="G83" t="s">
        <v>174</v>
      </c>
      <c r="H83" s="380">
        <f t="shared" si="40"/>
        <v>0</v>
      </c>
      <c r="J83" s="401">
        <f t="shared" ref="J83:V83" si="43" xml:space="preserve"> $F75 * J$79</f>
        <v>0</v>
      </c>
      <c r="K83" s="380">
        <f t="shared" si="43"/>
        <v>0</v>
      </c>
      <c r="L83" s="380">
        <f t="shared" si="43"/>
        <v>0</v>
      </c>
      <c r="M83" s="380">
        <f t="shared" si="43"/>
        <v>0</v>
      </c>
      <c r="N83" s="380">
        <f t="shared" si="43"/>
        <v>0</v>
      </c>
      <c r="O83" s="380">
        <f t="shared" si="43"/>
        <v>0</v>
      </c>
      <c r="P83" s="380">
        <f t="shared" si="43"/>
        <v>0</v>
      </c>
      <c r="Q83" s="380">
        <f t="shared" si="43"/>
        <v>0</v>
      </c>
      <c r="R83" s="380">
        <f t="shared" si="43"/>
        <v>0</v>
      </c>
      <c r="S83" s="380">
        <f t="shared" si="43"/>
        <v>0</v>
      </c>
      <c r="T83" s="380">
        <f t="shared" si="43"/>
        <v>0</v>
      </c>
      <c r="U83" s="380">
        <f t="shared" si="43"/>
        <v>0</v>
      </c>
      <c r="V83" s="380">
        <f t="shared" si="43"/>
        <v>0</v>
      </c>
    </row>
    <row r="84" spans="1:22">
      <c r="E84" s="335" t="s">
        <v>345</v>
      </c>
      <c r="G84" t="s">
        <v>174</v>
      </c>
      <c r="H84" s="380">
        <f t="shared" si="40"/>
        <v>0</v>
      </c>
      <c r="J84" s="401">
        <f t="shared" ref="J84:V84" si="44" xml:space="preserve"> $F76 * J$79</f>
        <v>0</v>
      </c>
      <c r="K84" s="380">
        <f t="shared" si="44"/>
        <v>0</v>
      </c>
      <c r="L84" s="380">
        <f t="shared" si="44"/>
        <v>0</v>
      </c>
      <c r="M84" s="380">
        <f t="shared" si="44"/>
        <v>0</v>
      </c>
      <c r="N84" s="380">
        <f t="shared" si="44"/>
        <v>0</v>
      </c>
      <c r="O84" s="380">
        <f t="shared" si="44"/>
        <v>0</v>
      </c>
      <c r="P84" s="380">
        <f t="shared" si="44"/>
        <v>0</v>
      </c>
      <c r="Q84" s="380">
        <f t="shared" si="44"/>
        <v>0</v>
      </c>
      <c r="R84" s="380">
        <f t="shared" si="44"/>
        <v>0</v>
      </c>
      <c r="S84" s="380">
        <f t="shared" si="44"/>
        <v>0</v>
      </c>
      <c r="T84" s="380">
        <f t="shared" si="44"/>
        <v>0</v>
      </c>
      <c r="U84" s="380">
        <f t="shared" si="44"/>
        <v>0</v>
      </c>
      <c r="V84" s="380">
        <f t="shared" si="44"/>
        <v>0</v>
      </c>
    </row>
    <row r="85" spans="1:22">
      <c r="E85" s="335" t="s">
        <v>874</v>
      </c>
      <c r="G85" t="s">
        <v>174</v>
      </c>
      <c r="H85" s="380">
        <f t="shared" si="40"/>
        <v>0</v>
      </c>
      <c r="J85" s="401">
        <f t="shared" ref="J85:V85" si="45" xml:space="preserve"> $F77 * J$79</f>
        <v>0</v>
      </c>
      <c r="K85" s="380">
        <f t="shared" si="45"/>
        <v>0</v>
      </c>
      <c r="L85" s="380">
        <f t="shared" si="45"/>
        <v>0</v>
      </c>
      <c r="M85" s="380">
        <f t="shared" si="45"/>
        <v>0</v>
      </c>
      <c r="N85" s="380">
        <f t="shared" si="45"/>
        <v>0</v>
      </c>
      <c r="O85" s="380">
        <f t="shared" si="45"/>
        <v>0</v>
      </c>
      <c r="P85" s="380">
        <f t="shared" si="45"/>
        <v>0</v>
      </c>
      <c r="Q85" s="380">
        <f t="shared" si="45"/>
        <v>0</v>
      </c>
      <c r="R85" s="380">
        <f t="shared" si="45"/>
        <v>0</v>
      </c>
      <c r="S85" s="380">
        <f t="shared" si="45"/>
        <v>0</v>
      </c>
      <c r="T85" s="380">
        <f t="shared" si="45"/>
        <v>0</v>
      </c>
      <c r="U85" s="380">
        <f t="shared" si="45"/>
        <v>0</v>
      </c>
      <c r="V85" s="380">
        <f t="shared" si="45"/>
        <v>0</v>
      </c>
    </row>
    <row r="86" spans="1:22">
      <c r="E86" s="376" t="s">
        <v>875</v>
      </c>
      <c r="F86" s="376"/>
      <c r="G86" s="376" t="s">
        <v>174</v>
      </c>
      <c r="H86" s="379">
        <f t="shared" si="40"/>
        <v>0</v>
      </c>
      <c r="I86" s="376"/>
      <c r="J86" s="398">
        <f xml:space="preserve"> SUM(J81:J85)</f>
        <v>0</v>
      </c>
      <c r="K86" s="379">
        <f t="shared" ref="K86:V86" si="46" xml:space="preserve"> SUM(K81:K85)</f>
        <v>0</v>
      </c>
      <c r="L86" s="379">
        <f t="shared" si="46"/>
        <v>0</v>
      </c>
      <c r="M86" s="379">
        <f t="shared" si="46"/>
        <v>0</v>
      </c>
      <c r="N86" s="379">
        <f t="shared" si="46"/>
        <v>0</v>
      </c>
      <c r="O86" s="379">
        <f t="shared" si="46"/>
        <v>0</v>
      </c>
      <c r="P86" s="379">
        <f t="shared" si="46"/>
        <v>0</v>
      </c>
      <c r="Q86" s="379">
        <f t="shared" si="46"/>
        <v>0</v>
      </c>
      <c r="R86" s="379">
        <f t="shared" si="46"/>
        <v>0</v>
      </c>
      <c r="S86" s="379">
        <f t="shared" si="46"/>
        <v>0</v>
      </c>
      <c r="T86" s="379">
        <f t="shared" si="46"/>
        <v>0</v>
      </c>
      <c r="U86" s="379">
        <f t="shared" si="46"/>
        <v>0</v>
      </c>
      <c r="V86" s="379">
        <f t="shared" si="46"/>
        <v>0</v>
      </c>
    </row>
    <row r="87" spans="1:22">
      <c r="H87" s="380"/>
      <c r="J87" s="380"/>
      <c r="K87" s="380"/>
      <c r="L87" s="380"/>
      <c r="M87" s="380"/>
      <c r="N87" s="380"/>
      <c r="O87" s="380"/>
      <c r="P87" s="380"/>
      <c r="Q87" s="380"/>
      <c r="R87" s="380"/>
      <c r="S87" s="380"/>
      <c r="T87" s="380"/>
      <c r="U87" s="380"/>
      <c r="V87" s="380"/>
    </row>
    <row r="88" spans="1:22">
      <c r="E88" t="str">
        <f xml:space="preserve"> E$70</f>
        <v>Wastewater network revenue adjustment active</v>
      </c>
      <c r="F88">
        <f t="shared" ref="F88:V88" si="47" xml:space="preserve"> F$70</f>
        <v>0</v>
      </c>
      <c r="G88" t="str">
        <f t="shared" si="47"/>
        <v>£m</v>
      </c>
      <c r="H88" s="380">
        <f t="shared" si="47"/>
        <v>0</v>
      </c>
      <c r="I88">
        <f t="shared" si="47"/>
        <v>0</v>
      </c>
      <c r="J88" s="401">
        <f t="shared" si="47"/>
        <v>0</v>
      </c>
      <c r="K88" s="380">
        <f t="shared" si="47"/>
        <v>0</v>
      </c>
      <c r="L88" s="380">
        <f t="shared" si="47"/>
        <v>0</v>
      </c>
      <c r="M88" s="380">
        <f t="shared" si="47"/>
        <v>0</v>
      </c>
      <c r="N88" s="380">
        <f t="shared" si="47"/>
        <v>0</v>
      </c>
      <c r="O88" s="380">
        <f t="shared" si="47"/>
        <v>0</v>
      </c>
      <c r="P88" s="380">
        <f t="shared" si="47"/>
        <v>0</v>
      </c>
      <c r="Q88" s="380">
        <f t="shared" si="47"/>
        <v>0</v>
      </c>
      <c r="R88" s="380">
        <f t="shared" si="47"/>
        <v>0</v>
      </c>
      <c r="S88" s="380">
        <f t="shared" si="47"/>
        <v>0</v>
      </c>
      <c r="T88" s="380">
        <f t="shared" si="47"/>
        <v>0</v>
      </c>
      <c r="U88" s="380">
        <f t="shared" si="47"/>
        <v>0</v>
      </c>
      <c r="V88" s="380">
        <f t="shared" si="47"/>
        <v>0</v>
      </c>
    </row>
    <row r="89" spans="1:22">
      <c r="E89" t="str">
        <f xml:space="preserve"> E$86</f>
        <v>Total wastewater network revenue adjustments</v>
      </c>
      <c r="F89">
        <f t="shared" ref="F89:V89" si="48" xml:space="preserve"> F$86</f>
        <v>0</v>
      </c>
      <c r="G89" t="str">
        <f t="shared" si="48"/>
        <v>£m</v>
      </c>
      <c r="H89" s="380">
        <f t="shared" si="48"/>
        <v>0</v>
      </c>
      <c r="I89">
        <f t="shared" si="48"/>
        <v>0</v>
      </c>
      <c r="J89" s="401">
        <f t="shared" si="48"/>
        <v>0</v>
      </c>
      <c r="K89" s="380">
        <f t="shared" si="48"/>
        <v>0</v>
      </c>
      <c r="L89" s="380">
        <f t="shared" si="48"/>
        <v>0</v>
      </c>
      <c r="M89" s="380">
        <f t="shared" si="48"/>
        <v>0</v>
      </c>
      <c r="N89" s="380">
        <f t="shared" si="48"/>
        <v>0</v>
      </c>
      <c r="O89" s="380">
        <f t="shared" si="48"/>
        <v>0</v>
      </c>
      <c r="P89" s="380">
        <f t="shared" si="48"/>
        <v>0</v>
      </c>
      <c r="Q89" s="380">
        <f t="shared" si="48"/>
        <v>0</v>
      </c>
      <c r="R89" s="380">
        <f t="shared" si="48"/>
        <v>0</v>
      </c>
      <c r="S89" s="380">
        <f t="shared" si="48"/>
        <v>0</v>
      </c>
      <c r="T89" s="380">
        <f t="shared" si="48"/>
        <v>0</v>
      </c>
      <c r="U89" s="380">
        <f t="shared" si="48"/>
        <v>0</v>
      </c>
      <c r="V89" s="380">
        <f t="shared" si="48"/>
        <v>0</v>
      </c>
    </row>
    <row r="90" spans="1:22">
      <c r="E90" t="s">
        <v>876</v>
      </c>
      <c r="F90" s="134">
        <f xml:space="preserve"> IF(SUM(J90:V90)&lt;&gt;0, 1, 0)</f>
        <v>0</v>
      </c>
      <c r="G90" t="s">
        <v>863</v>
      </c>
      <c r="J90" s="403">
        <f xml:space="preserve"> IF(J88 = J89, 0, 1)</f>
        <v>0</v>
      </c>
      <c r="K90">
        <f t="shared" ref="K90:V90" si="49" xml:space="preserve"> IF(K88 = K89, 0, 1)</f>
        <v>0</v>
      </c>
      <c r="L90">
        <f t="shared" si="49"/>
        <v>0</v>
      </c>
      <c r="M90">
        <f t="shared" si="49"/>
        <v>0</v>
      </c>
      <c r="N90">
        <f t="shared" si="49"/>
        <v>0</v>
      </c>
      <c r="O90">
        <f t="shared" si="49"/>
        <v>0</v>
      </c>
      <c r="P90">
        <f t="shared" si="49"/>
        <v>0</v>
      </c>
      <c r="Q90">
        <f t="shared" si="49"/>
        <v>0</v>
      </c>
      <c r="R90">
        <f t="shared" si="49"/>
        <v>0</v>
      </c>
      <c r="S90">
        <f t="shared" si="49"/>
        <v>0</v>
      </c>
      <c r="T90">
        <f t="shared" si="49"/>
        <v>0</v>
      </c>
      <c r="U90">
        <f t="shared" si="49"/>
        <v>0</v>
      </c>
      <c r="V90">
        <f t="shared" si="49"/>
        <v>0</v>
      </c>
    </row>
    <row r="93" spans="1:22" ht="12.75" customHeight="1">
      <c r="A93" s="39" t="s">
        <v>616</v>
      </c>
      <c r="B93" s="39"/>
      <c r="C93" s="40"/>
      <c r="D93" s="39"/>
      <c r="E93" s="39"/>
      <c r="F93" s="39"/>
      <c r="G93" s="39"/>
      <c r="H93" s="39"/>
      <c r="I93" s="39"/>
      <c r="J93" s="39"/>
      <c r="K93" s="39"/>
      <c r="L93" s="39"/>
      <c r="M93" s="39"/>
      <c r="N93" s="39"/>
      <c r="O93" s="39"/>
      <c r="P93" s="39"/>
      <c r="Q93" s="39"/>
      <c r="R93" s="39"/>
      <c r="S93" s="39"/>
      <c r="T93" s="39"/>
      <c r="U93" s="39"/>
      <c r="V93" s="39"/>
    </row>
    <row r="95" spans="1:22">
      <c r="E95" s="382" t="str">
        <f>Calc!E203</f>
        <v>Bioresources revenue adjustment</v>
      </c>
      <c r="F95" s="382">
        <f>Calc!F203</f>
        <v>0</v>
      </c>
      <c r="G95" s="378" t="str">
        <f>Calc!G203</f>
        <v>£m</v>
      </c>
      <c r="H95" s="378">
        <f>Calc!H203</f>
        <v>0</v>
      </c>
      <c r="I95" s="378">
        <f>Calc!I203</f>
        <v>0</v>
      </c>
      <c r="J95" s="378">
        <f>Calc!J203</f>
        <v>0</v>
      </c>
      <c r="K95" s="378">
        <f>Calc!K203</f>
        <v>0</v>
      </c>
      <c r="L95" s="378">
        <f>Calc!L203</f>
        <v>0</v>
      </c>
      <c r="M95" s="378">
        <f>Calc!M203</f>
        <v>0</v>
      </c>
      <c r="N95" s="378">
        <f>Calc!N203</f>
        <v>0</v>
      </c>
      <c r="O95" s="378">
        <f>Calc!O203</f>
        <v>0</v>
      </c>
      <c r="P95" s="378">
        <f>Calc!P203</f>
        <v>0</v>
      </c>
      <c r="Q95" s="378">
        <f>Calc!Q203</f>
        <v>0</v>
      </c>
      <c r="R95" s="378">
        <f>Calc!R203</f>
        <v>0</v>
      </c>
      <c r="S95" s="378">
        <f>Calc!S203</f>
        <v>0</v>
      </c>
      <c r="T95" s="378">
        <f>Calc!T203</f>
        <v>0</v>
      </c>
      <c r="U95" s="378">
        <f>Calc!U203</f>
        <v>0</v>
      </c>
      <c r="V95" s="378">
        <f>Calc!V203</f>
        <v>0</v>
      </c>
    </row>
    <row r="96" spans="1:22">
      <c r="E96" s="382" t="str">
        <f xml:space="preserve"> Profiling!E$243</f>
        <v>Bioresources revenue adjustment active</v>
      </c>
      <c r="F96" s="378">
        <f xml:space="preserve"> Profiling!F$243</f>
        <v>0</v>
      </c>
      <c r="G96" s="378" t="str">
        <f xml:space="preserve"> Profiling!G$243</f>
        <v>£m</v>
      </c>
      <c r="H96" s="378">
        <f xml:space="preserve"> Profiling!H$243</f>
        <v>0</v>
      </c>
      <c r="I96" s="378">
        <f xml:space="preserve"> Profiling!I$243</f>
        <v>0</v>
      </c>
      <c r="J96" s="382">
        <f xml:space="preserve"> Profiling!J$243</f>
        <v>0</v>
      </c>
      <c r="K96" s="378">
        <f xml:space="preserve"> Profiling!K$243</f>
        <v>0</v>
      </c>
      <c r="L96" s="378">
        <f xml:space="preserve"> Profiling!L$243</f>
        <v>0</v>
      </c>
      <c r="M96" s="378">
        <f xml:space="preserve"> Profiling!M$243</f>
        <v>0</v>
      </c>
      <c r="N96" s="378">
        <f xml:space="preserve"> Profiling!N$243</f>
        <v>0</v>
      </c>
      <c r="O96" s="378">
        <f xml:space="preserve"> Profiling!O$243</f>
        <v>0</v>
      </c>
      <c r="P96" s="378">
        <f xml:space="preserve"> Profiling!P$243</f>
        <v>0</v>
      </c>
      <c r="Q96" s="378">
        <f xml:space="preserve"> Profiling!Q$243</f>
        <v>0</v>
      </c>
      <c r="R96" s="378">
        <f xml:space="preserve"> Profiling!R$243</f>
        <v>0</v>
      </c>
      <c r="S96" s="378">
        <f xml:space="preserve"> Profiling!S$243</f>
        <v>0</v>
      </c>
      <c r="T96" s="378">
        <f xml:space="preserve"> Profiling!T$243</f>
        <v>0</v>
      </c>
      <c r="U96" s="378">
        <f xml:space="preserve"> Profiling!U$243</f>
        <v>0</v>
      </c>
      <c r="V96" s="378">
        <f xml:space="preserve"> Profiling!V$243</f>
        <v>0</v>
      </c>
    </row>
    <row r="97" spans="1:22">
      <c r="E97" t="s">
        <v>877</v>
      </c>
      <c r="G97" t="s">
        <v>273</v>
      </c>
      <c r="J97" s="402">
        <f>IF(J96 = 0, 0, J96/$F95)</f>
        <v>0</v>
      </c>
      <c r="K97" s="202">
        <f t="shared" ref="K97:V97" si="50">IF(K96 = 0, 0, K96/$F95)</f>
        <v>0</v>
      </c>
      <c r="L97" s="202">
        <f t="shared" si="50"/>
        <v>0</v>
      </c>
      <c r="M97" s="202">
        <f t="shared" si="50"/>
        <v>0</v>
      </c>
      <c r="N97" s="202">
        <f t="shared" si="50"/>
        <v>0</v>
      </c>
      <c r="O97" s="202">
        <f t="shared" si="50"/>
        <v>0</v>
      </c>
      <c r="P97" s="202">
        <f t="shared" si="50"/>
        <v>0</v>
      </c>
      <c r="Q97" s="202">
        <f t="shared" si="50"/>
        <v>0</v>
      </c>
      <c r="R97" s="202">
        <f t="shared" si="50"/>
        <v>0</v>
      </c>
      <c r="S97" s="202">
        <f t="shared" si="50"/>
        <v>0</v>
      </c>
      <c r="T97" s="202">
        <f t="shared" si="50"/>
        <v>0</v>
      </c>
      <c r="U97" s="202">
        <f t="shared" si="50"/>
        <v>0</v>
      </c>
      <c r="V97" s="202">
        <f t="shared" si="50"/>
        <v>0</v>
      </c>
    </row>
    <row r="99" spans="1:22">
      <c r="E99" s="378" t="str">
        <f xml:space="preserve"> Calc!E$164</f>
        <v>ODI in-period revenue adjustment ~ Bioresources at 2017-18 FYA CPIH deflated price base</v>
      </c>
      <c r="F99" s="382">
        <f xml:space="preserve"> Calc!F$164</f>
        <v>0</v>
      </c>
      <c r="G99" s="378" t="str">
        <f xml:space="preserve"> Calc!G$164</f>
        <v>£m</v>
      </c>
      <c r="H99" s="378">
        <f xml:space="preserve"> Calc!H$164</f>
        <v>0</v>
      </c>
      <c r="I99" s="378">
        <f xml:space="preserve"> Calc!I$164</f>
        <v>0</v>
      </c>
      <c r="J99" s="382">
        <f xml:space="preserve"> Calc!J$164</f>
        <v>0</v>
      </c>
      <c r="K99" s="378">
        <f xml:space="preserve"> Calc!K$164</f>
        <v>0</v>
      </c>
      <c r="L99" s="378">
        <f xml:space="preserve"> Calc!L$164</f>
        <v>0</v>
      </c>
      <c r="M99" s="378">
        <f xml:space="preserve"> Calc!M$164</f>
        <v>0</v>
      </c>
      <c r="N99" s="378">
        <f xml:space="preserve"> Calc!N$164</f>
        <v>0</v>
      </c>
      <c r="O99" s="378">
        <f xml:space="preserve"> Calc!O$164</f>
        <v>0</v>
      </c>
      <c r="P99" s="378">
        <f xml:space="preserve"> Calc!P$164</f>
        <v>0</v>
      </c>
      <c r="Q99" s="378">
        <f xml:space="preserve"> Calc!Q$164</f>
        <v>0</v>
      </c>
      <c r="R99" s="378">
        <f xml:space="preserve"> Calc!R$164</f>
        <v>0</v>
      </c>
      <c r="S99" s="378">
        <f xml:space="preserve"> Calc!S$164</f>
        <v>0</v>
      </c>
      <c r="T99" s="378">
        <f xml:space="preserve"> Calc!T$164</f>
        <v>0</v>
      </c>
      <c r="U99" s="378">
        <f xml:space="preserve"> Calc!U$164</f>
        <v>0</v>
      </c>
      <c r="V99" s="378">
        <f xml:space="preserve"> Calc!V$164</f>
        <v>0</v>
      </c>
    </row>
    <row r="100" spans="1:22">
      <c r="E100" s="378" t="str">
        <f xml:space="preserve"> Calc!E$165</f>
        <v>ODI end of period revenue adjustment ~ Bioresources at 2017-18 FYA CPIH deflated price base</v>
      </c>
      <c r="F100" s="382">
        <f xml:space="preserve"> Calc!F$165</f>
        <v>0</v>
      </c>
      <c r="G100" s="378" t="str">
        <f xml:space="preserve"> Calc!G$165</f>
        <v>£m</v>
      </c>
      <c r="H100" s="378">
        <f xml:space="preserve"> Calc!H$165</f>
        <v>0</v>
      </c>
      <c r="I100" s="378">
        <f xml:space="preserve"> Calc!I$165</f>
        <v>0</v>
      </c>
      <c r="J100" s="378">
        <f xml:space="preserve"> Calc!J$165</f>
        <v>0</v>
      </c>
      <c r="K100" s="378">
        <f xml:space="preserve"> Calc!K$165</f>
        <v>0</v>
      </c>
      <c r="L100" s="378">
        <f xml:space="preserve"> Calc!L$165</f>
        <v>0</v>
      </c>
      <c r="M100" s="378">
        <f xml:space="preserve"> Calc!M$165</f>
        <v>0</v>
      </c>
      <c r="N100" s="378">
        <f xml:space="preserve"> Calc!N$165</f>
        <v>0</v>
      </c>
      <c r="O100" s="378">
        <f xml:space="preserve"> Calc!O$165</f>
        <v>0</v>
      </c>
      <c r="P100" s="378">
        <f xml:space="preserve"> Calc!P$165</f>
        <v>0</v>
      </c>
      <c r="Q100" s="378">
        <f xml:space="preserve"> Calc!Q$165</f>
        <v>0</v>
      </c>
      <c r="R100" s="378">
        <f xml:space="preserve"> Calc!R$165</f>
        <v>0</v>
      </c>
      <c r="S100" s="378">
        <f xml:space="preserve"> Calc!S$165</f>
        <v>0</v>
      </c>
      <c r="T100" s="378">
        <f xml:space="preserve"> Calc!T$165</f>
        <v>0</v>
      </c>
      <c r="U100" s="378">
        <f xml:space="preserve"> Calc!U$165</f>
        <v>0</v>
      </c>
      <c r="V100" s="378">
        <f xml:space="preserve"> Calc!V$165</f>
        <v>0</v>
      </c>
    </row>
    <row r="101" spans="1:22" ht="7.5" customHeight="1"/>
    <row r="102" spans="1:22">
      <c r="E102" t="str">
        <f t="shared" ref="E102:V102" si="51" xml:space="preserve"> E$97</f>
        <v>Bioresources profiling proportions</v>
      </c>
      <c r="F102">
        <f t="shared" si="51"/>
        <v>0</v>
      </c>
      <c r="G102" t="str">
        <f t="shared" si="51"/>
        <v>%</v>
      </c>
      <c r="H102">
        <f t="shared" si="51"/>
        <v>0</v>
      </c>
      <c r="I102">
        <f t="shared" si="51"/>
        <v>0</v>
      </c>
      <c r="J102" s="400">
        <f t="shared" si="51"/>
        <v>0</v>
      </c>
      <c r="K102" s="202">
        <f t="shared" si="51"/>
        <v>0</v>
      </c>
      <c r="L102" s="202">
        <f t="shared" si="51"/>
        <v>0</v>
      </c>
      <c r="M102" s="202">
        <f t="shared" si="51"/>
        <v>0</v>
      </c>
      <c r="N102" s="202">
        <f t="shared" si="51"/>
        <v>0</v>
      </c>
      <c r="O102" s="202">
        <f t="shared" si="51"/>
        <v>0</v>
      </c>
      <c r="P102" s="202">
        <f t="shared" si="51"/>
        <v>0</v>
      </c>
      <c r="Q102" s="202">
        <f t="shared" si="51"/>
        <v>0</v>
      </c>
      <c r="R102" s="202">
        <f t="shared" si="51"/>
        <v>0</v>
      </c>
      <c r="S102" s="202">
        <f t="shared" si="51"/>
        <v>0</v>
      </c>
      <c r="T102" s="202">
        <f t="shared" si="51"/>
        <v>0</v>
      </c>
      <c r="U102" s="202">
        <f t="shared" si="51"/>
        <v>0</v>
      </c>
      <c r="V102" s="202">
        <f t="shared" si="51"/>
        <v>0</v>
      </c>
    </row>
    <row r="103" spans="1:22" ht="7.5" customHeight="1"/>
    <row r="104" spans="1:22" s="385" customFormat="1">
      <c r="A104"/>
      <c r="B104"/>
      <c r="C104"/>
      <c r="D104"/>
      <c r="E104" t="s">
        <v>311</v>
      </c>
      <c r="F104"/>
      <c r="G104" t="s">
        <v>174</v>
      </c>
      <c r="H104">
        <f xml:space="preserve"> SUM(J104:V104)</f>
        <v>0</v>
      </c>
      <c r="I104"/>
      <c r="J104" s="401">
        <f t="shared" ref="J104:V104" si="52" xml:space="preserve"> $F99 * J$102</f>
        <v>0</v>
      </c>
      <c r="K104" s="380">
        <f t="shared" si="52"/>
        <v>0</v>
      </c>
      <c r="L104" s="380">
        <f t="shared" si="52"/>
        <v>0</v>
      </c>
      <c r="M104" s="380">
        <f t="shared" si="52"/>
        <v>0</v>
      </c>
      <c r="N104" s="380">
        <f t="shared" si="52"/>
        <v>0</v>
      </c>
      <c r="O104" s="380">
        <f t="shared" si="52"/>
        <v>0</v>
      </c>
      <c r="P104" s="380">
        <f t="shared" si="52"/>
        <v>0</v>
      </c>
      <c r="Q104" s="380">
        <f t="shared" si="52"/>
        <v>0</v>
      </c>
      <c r="R104" s="380">
        <f t="shared" si="52"/>
        <v>0</v>
      </c>
      <c r="S104" s="380">
        <f t="shared" si="52"/>
        <v>0</v>
      </c>
      <c r="T104" s="380">
        <f t="shared" si="52"/>
        <v>0</v>
      </c>
      <c r="U104" s="380">
        <f t="shared" si="52"/>
        <v>0</v>
      </c>
      <c r="V104" s="380">
        <f t="shared" si="52"/>
        <v>0</v>
      </c>
    </row>
    <row r="105" spans="1:22" s="385" customFormat="1">
      <c r="A105"/>
      <c r="B105"/>
      <c r="C105"/>
      <c r="D105"/>
      <c r="E105" t="s">
        <v>323</v>
      </c>
      <c r="F105"/>
      <c r="G105" t="s">
        <v>174</v>
      </c>
      <c r="H105">
        <f xml:space="preserve"> SUM(J105:V105)</f>
        <v>0</v>
      </c>
      <c r="I105"/>
      <c r="J105" s="401">
        <f t="shared" ref="J105:V105" si="53" xml:space="preserve"> $F100 * J$102</f>
        <v>0</v>
      </c>
      <c r="K105" s="380">
        <f t="shared" si="53"/>
        <v>0</v>
      </c>
      <c r="L105" s="380">
        <f t="shared" si="53"/>
        <v>0</v>
      </c>
      <c r="M105" s="380">
        <f t="shared" si="53"/>
        <v>0</v>
      </c>
      <c r="N105" s="380">
        <f t="shared" si="53"/>
        <v>0</v>
      </c>
      <c r="O105" s="380">
        <f t="shared" si="53"/>
        <v>0</v>
      </c>
      <c r="P105" s="380">
        <f t="shared" si="53"/>
        <v>0</v>
      </c>
      <c r="Q105" s="380">
        <f t="shared" si="53"/>
        <v>0</v>
      </c>
      <c r="R105" s="380">
        <f t="shared" si="53"/>
        <v>0</v>
      </c>
      <c r="S105" s="380">
        <f t="shared" si="53"/>
        <v>0</v>
      </c>
      <c r="T105" s="380">
        <f t="shared" si="53"/>
        <v>0</v>
      </c>
      <c r="U105" s="380">
        <f t="shared" si="53"/>
        <v>0</v>
      </c>
      <c r="V105" s="380">
        <f t="shared" si="53"/>
        <v>0</v>
      </c>
    </row>
    <row r="106" spans="1:22" s="385" customFormat="1">
      <c r="A106"/>
      <c r="B106"/>
      <c r="C106"/>
      <c r="D106"/>
      <c r="E106" s="376" t="s">
        <v>878</v>
      </c>
      <c r="F106" s="376"/>
      <c r="G106" s="376" t="s">
        <v>174</v>
      </c>
      <c r="H106" s="379">
        <f xml:space="preserve"> SUM(J106:V106)</f>
        <v>0</v>
      </c>
      <c r="I106" s="376"/>
      <c r="J106" s="398">
        <f xml:space="preserve"> SUM(J104:J105)</f>
        <v>0</v>
      </c>
      <c r="K106" s="379">
        <f t="shared" ref="K106:V106" si="54" xml:space="preserve"> SUM(K104:K105)</f>
        <v>0</v>
      </c>
      <c r="L106" s="379">
        <f t="shared" si="54"/>
        <v>0</v>
      </c>
      <c r="M106" s="379">
        <f t="shared" si="54"/>
        <v>0</v>
      </c>
      <c r="N106" s="379">
        <f t="shared" si="54"/>
        <v>0</v>
      </c>
      <c r="O106" s="379">
        <f t="shared" si="54"/>
        <v>0</v>
      </c>
      <c r="P106" s="379">
        <f t="shared" si="54"/>
        <v>0</v>
      </c>
      <c r="Q106" s="379">
        <f t="shared" si="54"/>
        <v>0</v>
      </c>
      <c r="R106" s="379">
        <f t="shared" si="54"/>
        <v>0</v>
      </c>
      <c r="S106" s="379">
        <f t="shared" si="54"/>
        <v>0</v>
      </c>
      <c r="T106" s="379">
        <f t="shared" si="54"/>
        <v>0</v>
      </c>
      <c r="U106" s="379">
        <f t="shared" si="54"/>
        <v>0</v>
      </c>
      <c r="V106" s="379">
        <f t="shared" si="54"/>
        <v>0</v>
      </c>
    </row>
    <row r="108" spans="1:22">
      <c r="E108" t="str">
        <f xml:space="preserve"> E$96</f>
        <v>Bioresources revenue adjustment active</v>
      </c>
      <c r="F108">
        <f t="shared" ref="F108:V108" si="55" xml:space="preserve"> F$96</f>
        <v>0</v>
      </c>
      <c r="G108" t="str">
        <f t="shared" si="55"/>
        <v>£m</v>
      </c>
      <c r="H108">
        <f t="shared" si="55"/>
        <v>0</v>
      </c>
      <c r="I108">
        <f t="shared" si="55"/>
        <v>0</v>
      </c>
      <c r="J108" s="380">
        <f t="shared" si="55"/>
        <v>0</v>
      </c>
      <c r="K108" s="380">
        <f t="shared" si="55"/>
        <v>0</v>
      </c>
      <c r="L108" s="380">
        <f t="shared" si="55"/>
        <v>0</v>
      </c>
      <c r="M108" s="380">
        <f t="shared" si="55"/>
        <v>0</v>
      </c>
      <c r="N108" s="380">
        <f t="shared" si="55"/>
        <v>0</v>
      </c>
      <c r="O108" s="380">
        <f t="shared" si="55"/>
        <v>0</v>
      </c>
      <c r="P108" s="380">
        <f t="shared" si="55"/>
        <v>0</v>
      </c>
      <c r="Q108" s="380">
        <f t="shared" si="55"/>
        <v>0</v>
      </c>
      <c r="R108" s="380">
        <f t="shared" si="55"/>
        <v>0</v>
      </c>
      <c r="S108" s="380">
        <f t="shared" si="55"/>
        <v>0</v>
      </c>
      <c r="T108" s="380">
        <f t="shared" si="55"/>
        <v>0</v>
      </c>
      <c r="U108" s="380">
        <f t="shared" si="55"/>
        <v>0</v>
      </c>
      <c r="V108" s="380">
        <f t="shared" si="55"/>
        <v>0</v>
      </c>
    </row>
    <row r="109" spans="1:22">
      <c r="E109" t="str">
        <f xml:space="preserve"> E$106</f>
        <v>Total bioresources revenue adjustments</v>
      </c>
      <c r="F109">
        <f t="shared" ref="F109:V109" si="56" xml:space="preserve"> F$106</f>
        <v>0</v>
      </c>
      <c r="G109" t="str">
        <f t="shared" si="56"/>
        <v>£m</v>
      </c>
      <c r="H109">
        <f t="shared" si="56"/>
        <v>0</v>
      </c>
      <c r="I109">
        <f t="shared" si="56"/>
        <v>0</v>
      </c>
      <c r="J109" s="380">
        <f t="shared" si="56"/>
        <v>0</v>
      </c>
      <c r="K109" s="380">
        <f t="shared" si="56"/>
        <v>0</v>
      </c>
      <c r="L109" s="380">
        <f t="shared" si="56"/>
        <v>0</v>
      </c>
      <c r="M109" s="380">
        <f t="shared" si="56"/>
        <v>0</v>
      </c>
      <c r="N109" s="380">
        <f t="shared" si="56"/>
        <v>0</v>
      </c>
      <c r="O109" s="380">
        <f t="shared" si="56"/>
        <v>0</v>
      </c>
      <c r="P109" s="380">
        <f t="shared" si="56"/>
        <v>0</v>
      </c>
      <c r="Q109" s="380">
        <f t="shared" si="56"/>
        <v>0</v>
      </c>
      <c r="R109" s="380">
        <f t="shared" si="56"/>
        <v>0</v>
      </c>
      <c r="S109" s="380">
        <f t="shared" si="56"/>
        <v>0</v>
      </c>
      <c r="T109" s="380">
        <f t="shared" si="56"/>
        <v>0</v>
      </c>
      <c r="U109" s="380">
        <f t="shared" si="56"/>
        <v>0</v>
      </c>
      <c r="V109" s="380">
        <f t="shared" si="56"/>
        <v>0</v>
      </c>
    </row>
    <row r="110" spans="1:22">
      <c r="E110" t="s">
        <v>879</v>
      </c>
      <c r="F110" s="134">
        <f xml:space="preserve"> IF(SUM(J110:V110)&lt;&gt;0, 1, 0)</f>
        <v>0</v>
      </c>
      <c r="G110" t="s">
        <v>863</v>
      </c>
      <c r="J110">
        <f t="shared" ref="J110:V110" si="57" xml:space="preserve"> IF(J108 = J109, 0, 1)</f>
        <v>0</v>
      </c>
      <c r="K110">
        <f t="shared" si="57"/>
        <v>0</v>
      </c>
      <c r="L110">
        <f t="shared" si="57"/>
        <v>0</v>
      </c>
      <c r="M110">
        <f t="shared" si="57"/>
        <v>0</v>
      </c>
      <c r="N110">
        <f t="shared" si="57"/>
        <v>0</v>
      </c>
      <c r="O110">
        <f t="shared" si="57"/>
        <v>0</v>
      </c>
      <c r="P110">
        <f t="shared" si="57"/>
        <v>0</v>
      </c>
      <c r="Q110">
        <f t="shared" si="57"/>
        <v>0</v>
      </c>
      <c r="R110">
        <f t="shared" si="57"/>
        <v>0</v>
      </c>
      <c r="S110">
        <f t="shared" si="57"/>
        <v>0</v>
      </c>
      <c r="T110">
        <f t="shared" si="57"/>
        <v>0</v>
      </c>
      <c r="U110">
        <f t="shared" si="57"/>
        <v>0</v>
      </c>
      <c r="V110">
        <f t="shared" si="57"/>
        <v>0</v>
      </c>
    </row>
    <row r="113" spans="1:22" ht="12.75" customHeight="1">
      <c r="A113" s="39" t="s">
        <v>880</v>
      </c>
      <c r="B113" s="39"/>
      <c r="C113" s="40"/>
      <c r="D113" s="39"/>
      <c r="E113" s="39"/>
      <c r="F113" s="39"/>
      <c r="G113" s="39"/>
      <c r="H113" s="39"/>
      <c r="I113" s="39"/>
      <c r="J113" s="39"/>
      <c r="K113" s="39"/>
      <c r="L113" s="39"/>
      <c r="M113" s="39"/>
      <c r="N113" s="39"/>
      <c r="O113" s="39"/>
      <c r="P113" s="39"/>
      <c r="Q113" s="39"/>
      <c r="R113" s="39"/>
      <c r="S113" s="39"/>
      <c r="T113" s="39"/>
      <c r="U113" s="39"/>
      <c r="V113" s="39"/>
    </row>
    <row r="115" spans="1:22">
      <c r="E115" s="378" t="str">
        <f xml:space="preserve"> Calc!E$216</f>
        <v>Dummy control revenue adjustment</v>
      </c>
      <c r="F115" s="378">
        <f xml:space="preserve"> Calc!F$216</f>
        <v>0</v>
      </c>
      <c r="G115" s="378" t="str">
        <f xml:space="preserve"> Calc!G$216</f>
        <v>£m</v>
      </c>
      <c r="H115" s="378">
        <f xml:space="preserve"> Calc!H$216</f>
        <v>0</v>
      </c>
      <c r="I115" s="378">
        <f xml:space="preserve"> Calc!I$216</f>
        <v>0</v>
      </c>
      <c r="J115" s="382">
        <f xml:space="preserve"> Calc!J$216</f>
        <v>0</v>
      </c>
      <c r="K115" s="378">
        <f xml:space="preserve"> Calc!K$216</f>
        <v>0</v>
      </c>
      <c r="L115" s="378">
        <f xml:space="preserve"> Calc!L$216</f>
        <v>0</v>
      </c>
      <c r="M115" s="378">
        <f xml:space="preserve"> Calc!M$216</f>
        <v>0</v>
      </c>
      <c r="N115" s="378">
        <f xml:space="preserve"> Calc!N$216</f>
        <v>0</v>
      </c>
      <c r="O115" s="378">
        <f xml:space="preserve"> Calc!O$216</f>
        <v>0</v>
      </c>
      <c r="P115" s="378">
        <f xml:space="preserve"> Calc!P$216</f>
        <v>0</v>
      </c>
      <c r="Q115" s="378">
        <f xml:space="preserve"> Calc!Q$216</f>
        <v>0</v>
      </c>
      <c r="R115" s="378">
        <f xml:space="preserve"> Calc!R$216</f>
        <v>0</v>
      </c>
      <c r="S115" s="378">
        <f xml:space="preserve"> Calc!S$216</f>
        <v>0</v>
      </c>
      <c r="T115" s="378">
        <f xml:space="preserve"> Calc!T$216</f>
        <v>0</v>
      </c>
      <c r="U115" s="378">
        <f xml:space="preserve"> Calc!U$216</f>
        <v>0</v>
      </c>
      <c r="V115" s="378">
        <f xml:space="preserve"> Calc!V$216</f>
        <v>0</v>
      </c>
    </row>
    <row r="116" spans="1:22">
      <c r="E116" s="378" t="str">
        <f xml:space="preserve"> Profiling!E$245</f>
        <v>Dummy control revenue adjustment active</v>
      </c>
      <c r="F116" s="378">
        <f xml:space="preserve"> Profiling!F$245</f>
        <v>0</v>
      </c>
      <c r="G116" s="378" t="str">
        <f xml:space="preserve"> Profiling!G$245</f>
        <v>£m</v>
      </c>
      <c r="H116" s="378">
        <f xml:space="preserve"> Profiling!H$245</f>
        <v>0</v>
      </c>
      <c r="I116" s="378">
        <f xml:space="preserve"> Profiling!I$245</f>
        <v>0</v>
      </c>
      <c r="J116" s="382">
        <f xml:space="preserve"> Profiling!J$245</f>
        <v>0</v>
      </c>
      <c r="K116" s="378">
        <f xml:space="preserve"> Profiling!K$245</f>
        <v>0</v>
      </c>
      <c r="L116" s="378">
        <f xml:space="preserve"> Profiling!L$245</f>
        <v>0</v>
      </c>
      <c r="M116" s="378">
        <f xml:space="preserve"> Profiling!M$245</f>
        <v>0</v>
      </c>
      <c r="N116" s="378">
        <f xml:space="preserve"> Profiling!N$245</f>
        <v>0</v>
      </c>
      <c r="O116" s="378">
        <f xml:space="preserve"> Profiling!O$245</f>
        <v>0</v>
      </c>
      <c r="P116" s="378">
        <f xml:space="preserve"> Profiling!P$245</f>
        <v>0</v>
      </c>
      <c r="Q116" s="378">
        <f xml:space="preserve"> Profiling!Q$245</f>
        <v>0</v>
      </c>
      <c r="R116" s="378">
        <f xml:space="preserve"> Profiling!R$245</f>
        <v>0</v>
      </c>
      <c r="S116" s="378">
        <f xml:space="preserve"> Profiling!S$245</f>
        <v>0</v>
      </c>
      <c r="T116" s="378">
        <f xml:space="preserve"> Profiling!T$245</f>
        <v>0</v>
      </c>
      <c r="U116" s="378">
        <f xml:space="preserve"> Profiling!U$245</f>
        <v>0</v>
      </c>
      <c r="V116" s="378">
        <f xml:space="preserve"> Profiling!V$245</f>
        <v>0</v>
      </c>
    </row>
    <row r="117" spans="1:22">
      <c r="E117" t="s">
        <v>881</v>
      </c>
      <c r="G117" t="s">
        <v>273</v>
      </c>
      <c r="J117" s="202">
        <f t="shared" ref="J117:V117" si="58">IF(J116 = 0, 0, J116/$F115)</f>
        <v>0</v>
      </c>
      <c r="K117" s="202">
        <f t="shared" si="58"/>
        <v>0</v>
      </c>
      <c r="L117" s="202">
        <f t="shared" si="58"/>
        <v>0</v>
      </c>
      <c r="M117" s="202">
        <f t="shared" si="58"/>
        <v>0</v>
      </c>
      <c r="N117" s="202">
        <f t="shared" si="58"/>
        <v>0</v>
      </c>
      <c r="O117" s="202">
        <f t="shared" si="58"/>
        <v>0</v>
      </c>
      <c r="P117" s="202">
        <f t="shared" si="58"/>
        <v>0</v>
      </c>
      <c r="Q117" s="202">
        <f t="shared" si="58"/>
        <v>0</v>
      </c>
      <c r="R117" s="202">
        <f t="shared" si="58"/>
        <v>0</v>
      </c>
      <c r="S117" s="202">
        <f t="shared" si="58"/>
        <v>0</v>
      </c>
      <c r="T117" s="202">
        <f t="shared" si="58"/>
        <v>0</v>
      </c>
      <c r="U117" s="202">
        <f t="shared" si="58"/>
        <v>0</v>
      </c>
      <c r="V117" s="202">
        <f t="shared" si="58"/>
        <v>0</v>
      </c>
    </row>
    <row r="119" spans="1:22">
      <c r="E119" s="171" t="str">
        <f xml:space="preserve"> Calc!E$171</f>
        <v>Dummy: revenue adjustment from totex menu model at 2017-18 FYA CPIH deflated price base</v>
      </c>
      <c r="F119" s="171">
        <f xml:space="preserve"> Calc!F$171</f>
        <v>0</v>
      </c>
      <c r="G119" s="171" t="str">
        <f xml:space="preserve"> Calc!G$171</f>
        <v>£m</v>
      </c>
      <c r="H119" s="171">
        <f xml:space="preserve"> Calc!H$171</f>
        <v>0</v>
      </c>
      <c r="I119" s="171">
        <f xml:space="preserve"> Calc!I$171</f>
        <v>0</v>
      </c>
      <c r="J119" s="404">
        <f xml:space="preserve"> Calc!J$171</f>
        <v>0</v>
      </c>
      <c r="K119" s="383">
        <f xml:space="preserve"> Calc!K$171</f>
        <v>0</v>
      </c>
      <c r="L119" s="383">
        <f xml:space="preserve"> Calc!L$171</f>
        <v>0</v>
      </c>
      <c r="M119" s="383">
        <f xml:space="preserve"> Calc!M$171</f>
        <v>0</v>
      </c>
      <c r="N119" s="383">
        <f xml:space="preserve"> Calc!N$171</f>
        <v>0</v>
      </c>
      <c r="O119" s="383">
        <f xml:space="preserve"> Calc!O$171</f>
        <v>0</v>
      </c>
      <c r="P119" s="383">
        <f xml:space="preserve"> Calc!P$171</f>
        <v>0</v>
      </c>
      <c r="Q119" s="383">
        <f xml:space="preserve"> Calc!Q$171</f>
        <v>0</v>
      </c>
      <c r="R119" s="383">
        <f xml:space="preserve"> Calc!R$171</f>
        <v>0</v>
      </c>
      <c r="S119" s="383">
        <f xml:space="preserve"> Calc!S$171</f>
        <v>0</v>
      </c>
      <c r="T119" s="383">
        <f xml:space="preserve"> Calc!T$171</f>
        <v>0</v>
      </c>
      <c r="U119" s="383">
        <f xml:space="preserve"> Calc!U$171</f>
        <v>0</v>
      </c>
      <c r="V119" s="383">
        <f xml:space="preserve"> Calc!V$171</f>
        <v>0</v>
      </c>
    </row>
    <row r="120" spans="1:22">
      <c r="E120" s="171" t="str">
        <f>Calc!E$172</f>
        <v>WRFIM total reward / (penalty) at the end of AMP6 ~ Dummy at 2017-18 FYA CPIH deflated price base</v>
      </c>
      <c r="F120" s="171">
        <f>Calc!F$172</f>
        <v>0</v>
      </c>
      <c r="G120" s="171" t="str">
        <f>Calc!G$172</f>
        <v>£m</v>
      </c>
      <c r="H120" s="171">
        <f>Calc!H$172</f>
        <v>0</v>
      </c>
      <c r="I120" s="171">
        <f>Calc!I$172</f>
        <v>0</v>
      </c>
      <c r="J120" s="383">
        <f>Calc!J$172</f>
        <v>0</v>
      </c>
      <c r="K120" s="383">
        <f>Calc!K$172</f>
        <v>0</v>
      </c>
      <c r="L120" s="383">
        <f>Calc!L$172</f>
        <v>0</v>
      </c>
      <c r="M120" s="383">
        <f>Calc!M$172</f>
        <v>0</v>
      </c>
      <c r="N120" s="383">
        <f>Calc!N$172</f>
        <v>0</v>
      </c>
      <c r="O120" s="383">
        <f>Calc!O$172</f>
        <v>0</v>
      </c>
      <c r="P120" s="383">
        <f>Calc!P$172</f>
        <v>0</v>
      </c>
      <c r="Q120" s="383">
        <f>Calc!Q$172</f>
        <v>0</v>
      </c>
      <c r="R120" s="383">
        <f>Calc!R$172</f>
        <v>0</v>
      </c>
      <c r="S120" s="383">
        <f>Calc!S$172</f>
        <v>0</v>
      </c>
      <c r="T120" s="383">
        <f>Calc!T$172</f>
        <v>0</v>
      </c>
      <c r="U120" s="383">
        <f>Calc!U$172</f>
        <v>0</v>
      </c>
      <c r="V120" s="383">
        <f>Calc!V$172</f>
        <v>0</v>
      </c>
    </row>
    <row r="121" spans="1:22" ht="4.5" customHeight="1"/>
    <row r="122" spans="1:22">
      <c r="E122" t="str">
        <f t="shared" ref="E122:V122" si="59" xml:space="preserve"> E$117</f>
        <v>Dummy profiling proportions</v>
      </c>
      <c r="F122">
        <f t="shared" si="59"/>
        <v>0</v>
      </c>
      <c r="G122" t="str">
        <f t="shared" si="59"/>
        <v>%</v>
      </c>
      <c r="H122">
        <f t="shared" si="59"/>
        <v>0</v>
      </c>
      <c r="I122">
        <f t="shared" si="59"/>
        <v>0</v>
      </c>
      <c r="J122" s="202">
        <f t="shared" si="59"/>
        <v>0</v>
      </c>
      <c r="K122" s="202">
        <f t="shared" si="59"/>
        <v>0</v>
      </c>
      <c r="L122" s="202">
        <f t="shared" si="59"/>
        <v>0</v>
      </c>
      <c r="M122" s="202">
        <f t="shared" si="59"/>
        <v>0</v>
      </c>
      <c r="N122" s="202">
        <f t="shared" si="59"/>
        <v>0</v>
      </c>
      <c r="O122" s="202">
        <f t="shared" si="59"/>
        <v>0</v>
      </c>
      <c r="P122" s="202">
        <f t="shared" si="59"/>
        <v>0</v>
      </c>
      <c r="Q122" s="202">
        <f t="shared" si="59"/>
        <v>0</v>
      </c>
      <c r="R122" s="202">
        <f t="shared" si="59"/>
        <v>0</v>
      </c>
      <c r="S122" s="202">
        <f t="shared" si="59"/>
        <v>0</v>
      </c>
      <c r="T122" s="202">
        <f t="shared" si="59"/>
        <v>0</v>
      </c>
      <c r="U122" s="202">
        <f t="shared" si="59"/>
        <v>0</v>
      </c>
      <c r="V122" s="202">
        <f t="shared" si="59"/>
        <v>0</v>
      </c>
    </row>
    <row r="123" spans="1:22" ht="4.5" customHeight="1"/>
    <row r="124" spans="1:22">
      <c r="E124" t="s">
        <v>347</v>
      </c>
      <c r="G124" t="s">
        <v>174</v>
      </c>
      <c r="H124">
        <f xml:space="preserve"> SUM(J124:V124)</f>
        <v>0</v>
      </c>
      <c r="J124" s="380">
        <f t="shared" ref="J124:V124" si="60" xml:space="preserve"> $F119 * J$122</f>
        <v>0</v>
      </c>
      <c r="K124" s="380">
        <f t="shared" si="60"/>
        <v>0</v>
      </c>
      <c r="L124" s="380">
        <f t="shared" si="60"/>
        <v>0</v>
      </c>
      <c r="M124" s="380">
        <f t="shared" si="60"/>
        <v>0</v>
      </c>
      <c r="N124" s="380">
        <f t="shared" si="60"/>
        <v>0</v>
      </c>
      <c r="O124" s="380">
        <f t="shared" si="60"/>
        <v>0</v>
      </c>
      <c r="P124" s="380">
        <f t="shared" si="60"/>
        <v>0</v>
      </c>
      <c r="Q124" s="380">
        <f t="shared" si="60"/>
        <v>0</v>
      </c>
      <c r="R124" s="380">
        <f t="shared" si="60"/>
        <v>0</v>
      </c>
      <c r="S124" s="380">
        <f t="shared" si="60"/>
        <v>0</v>
      </c>
      <c r="T124" s="380">
        <f t="shared" si="60"/>
        <v>0</v>
      </c>
      <c r="U124" s="380">
        <f t="shared" si="60"/>
        <v>0</v>
      </c>
      <c r="V124" s="380">
        <f t="shared" si="60"/>
        <v>0</v>
      </c>
    </row>
    <row r="125" spans="1:22">
      <c r="E125" t="s">
        <v>349</v>
      </c>
      <c r="G125" t="s">
        <v>174</v>
      </c>
      <c r="H125">
        <f xml:space="preserve"> SUM(J125:V125)</f>
        <v>0</v>
      </c>
      <c r="J125" s="380">
        <f t="shared" ref="J125:V125" si="61" xml:space="preserve"> $F120 * J$122</f>
        <v>0</v>
      </c>
      <c r="K125" s="380">
        <f t="shared" si="61"/>
        <v>0</v>
      </c>
      <c r="L125" s="380">
        <f t="shared" si="61"/>
        <v>0</v>
      </c>
      <c r="M125" s="380">
        <f t="shared" si="61"/>
        <v>0</v>
      </c>
      <c r="N125" s="380">
        <f t="shared" si="61"/>
        <v>0</v>
      </c>
      <c r="O125" s="380">
        <f t="shared" si="61"/>
        <v>0</v>
      </c>
      <c r="P125" s="380">
        <f t="shared" si="61"/>
        <v>0</v>
      </c>
      <c r="Q125" s="380">
        <f t="shared" si="61"/>
        <v>0</v>
      </c>
      <c r="R125" s="380">
        <f t="shared" si="61"/>
        <v>0</v>
      </c>
      <c r="S125" s="380">
        <f t="shared" si="61"/>
        <v>0</v>
      </c>
      <c r="T125" s="380">
        <f t="shared" si="61"/>
        <v>0</v>
      </c>
      <c r="U125" s="380">
        <f t="shared" si="61"/>
        <v>0</v>
      </c>
      <c r="V125" s="380">
        <f t="shared" si="61"/>
        <v>0</v>
      </c>
    </row>
    <row r="126" spans="1:22">
      <c r="E126" s="379" t="s">
        <v>882</v>
      </c>
      <c r="F126" s="379"/>
      <c r="G126" s="379" t="s">
        <v>174</v>
      </c>
      <c r="H126" s="379">
        <f xml:space="preserve"> SUM(J126:V126)</f>
        <v>0</v>
      </c>
      <c r="I126" s="379"/>
      <c r="J126" s="379">
        <f t="shared" ref="J126:V126" si="62" xml:space="preserve"> SUM(J124:J125)</f>
        <v>0</v>
      </c>
      <c r="K126" s="379">
        <f t="shared" si="62"/>
        <v>0</v>
      </c>
      <c r="L126" s="379">
        <f t="shared" si="62"/>
        <v>0</v>
      </c>
      <c r="M126" s="379">
        <f t="shared" si="62"/>
        <v>0</v>
      </c>
      <c r="N126" s="379">
        <f t="shared" si="62"/>
        <v>0</v>
      </c>
      <c r="O126" s="379">
        <f t="shared" si="62"/>
        <v>0</v>
      </c>
      <c r="P126" s="379">
        <f t="shared" si="62"/>
        <v>0</v>
      </c>
      <c r="Q126" s="379">
        <f t="shared" si="62"/>
        <v>0</v>
      </c>
      <c r="R126" s="379">
        <f t="shared" si="62"/>
        <v>0</v>
      </c>
      <c r="S126" s="379">
        <f t="shared" si="62"/>
        <v>0</v>
      </c>
      <c r="T126" s="379">
        <f t="shared" si="62"/>
        <v>0</v>
      </c>
      <c r="U126" s="379">
        <f t="shared" si="62"/>
        <v>0</v>
      </c>
      <c r="V126" s="379">
        <f t="shared" si="62"/>
        <v>0</v>
      </c>
    </row>
    <row r="127" spans="1:22">
      <c r="J127" s="380"/>
      <c r="K127" s="380"/>
      <c r="L127" s="380"/>
      <c r="M127" s="380"/>
      <c r="N127" s="380"/>
      <c r="O127" s="380"/>
      <c r="P127" s="380"/>
      <c r="Q127" s="380"/>
      <c r="R127" s="380"/>
      <c r="S127" s="380"/>
      <c r="T127" s="380"/>
      <c r="U127" s="380"/>
      <c r="V127" s="380"/>
    </row>
    <row r="128" spans="1:22">
      <c r="E128" t="str">
        <f xml:space="preserve"> E$116</f>
        <v>Dummy control revenue adjustment active</v>
      </c>
      <c r="F128">
        <f t="shared" ref="F128:V128" si="63" xml:space="preserve"> F$116</f>
        <v>0</v>
      </c>
      <c r="G128" t="str">
        <f t="shared" si="63"/>
        <v>£m</v>
      </c>
      <c r="H128">
        <f t="shared" si="63"/>
        <v>0</v>
      </c>
      <c r="I128">
        <f t="shared" si="63"/>
        <v>0</v>
      </c>
      <c r="J128" s="380">
        <f t="shared" si="63"/>
        <v>0</v>
      </c>
      <c r="K128" s="380">
        <f t="shared" si="63"/>
        <v>0</v>
      </c>
      <c r="L128" s="380">
        <f t="shared" si="63"/>
        <v>0</v>
      </c>
      <c r="M128" s="380">
        <f t="shared" si="63"/>
        <v>0</v>
      </c>
      <c r="N128" s="380">
        <f t="shared" si="63"/>
        <v>0</v>
      </c>
      <c r="O128" s="380">
        <f t="shared" si="63"/>
        <v>0</v>
      </c>
      <c r="P128" s="380">
        <f t="shared" si="63"/>
        <v>0</v>
      </c>
      <c r="Q128" s="380">
        <f t="shared" si="63"/>
        <v>0</v>
      </c>
      <c r="R128" s="380">
        <f t="shared" si="63"/>
        <v>0</v>
      </c>
      <c r="S128" s="380">
        <f t="shared" si="63"/>
        <v>0</v>
      </c>
      <c r="T128" s="380">
        <f t="shared" si="63"/>
        <v>0</v>
      </c>
      <c r="U128" s="380">
        <f t="shared" si="63"/>
        <v>0</v>
      </c>
      <c r="V128" s="380">
        <f t="shared" si="63"/>
        <v>0</v>
      </c>
    </row>
    <row r="129" spans="1:22">
      <c r="E129" t="str">
        <f xml:space="preserve"> E$126</f>
        <v>Total dummy revenue adjustments</v>
      </c>
      <c r="F129">
        <f t="shared" ref="F129:V129" si="64" xml:space="preserve"> F$126</f>
        <v>0</v>
      </c>
      <c r="G129" t="str">
        <f t="shared" si="64"/>
        <v>£m</v>
      </c>
      <c r="H129">
        <f t="shared" si="64"/>
        <v>0</v>
      </c>
      <c r="I129">
        <f t="shared" si="64"/>
        <v>0</v>
      </c>
      <c r="J129" s="380">
        <f t="shared" si="64"/>
        <v>0</v>
      </c>
      <c r="K129" s="380">
        <f t="shared" si="64"/>
        <v>0</v>
      </c>
      <c r="L129" s="380">
        <f t="shared" si="64"/>
        <v>0</v>
      </c>
      <c r="M129" s="380">
        <f t="shared" si="64"/>
        <v>0</v>
      </c>
      <c r="N129" s="380">
        <f t="shared" si="64"/>
        <v>0</v>
      </c>
      <c r="O129" s="380">
        <f t="shared" si="64"/>
        <v>0</v>
      </c>
      <c r="P129" s="380">
        <f t="shared" si="64"/>
        <v>0</v>
      </c>
      <c r="Q129" s="380">
        <f t="shared" si="64"/>
        <v>0</v>
      </c>
      <c r="R129" s="380">
        <f t="shared" si="64"/>
        <v>0</v>
      </c>
      <c r="S129" s="380">
        <f t="shared" si="64"/>
        <v>0</v>
      </c>
      <c r="T129" s="380">
        <f t="shared" si="64"/>
        <v>0</v>
      </c>
      <c r="U129" s="380">
        <f t="shared" si="64"/>
        <v>0</v>
      </c>
      <c r="V129" s="380">
        <f t="shared" si="64"/>
        <v>0</v>
      </c>
    </row>
    <row r="130" spans="1:22">
      <c r="E130" t="s">
        <v>883</v>
      </c>
      <c r="F130" s="134">
        <f xml:space="preserve"> IF(SUM(J130:V130)&lt;&gt;0, 1, 0)</f>
        <v>0</v>
      </c>
      <c r="G130" t="s">
        <v>863</v>
      </c>
      <c r="J130">
        <f t="shared" ref="J130:V130" si="65" xml:space="preserve"> IF(J128 = J129, 0, 1)</f>
        <v>0</v>
      </c>
      <c r="K130">
        <f t="shared" si="65"/>
        <v>0</v>
      </c>
      <c r="L130">
        <f t="shared" si="65"/>
        <v>0</v>
      </c>
      <c r="M130">
        <f t="shared" si="65"/>
        <v>0</v>
      </c>
      <c r="N130">
        <f t="shared" si="65"/>
        <v>0</v>
      </c>
      <c r="O130">
        <f t="shared" si="65"/>
        <v>0</v>
      </c>
      <c r="P130">
        <f t="shared" si="65"/>
        <v>0</v>
      </c>
      <c r="Q130">
        <f t="shared" si="65"/>
        <v>0</v>
      </c>
      <c r="R130">
        <f t="shared" si="65"/>
        <v>0</v>
      </c>
      <c r="S130">
        <f t="shared" si="65"/>
        <v>0</v>
      </c>
      <c r="T130">
        <f t="shared" si="65"/>
        <v>0</v>
      </c>
      <c r="U130">
        <f t="shared" si="65"/>
        <v>0</v>
      </c>
      <c r="V130">
        <f t="shared" si="65"/>
        <v>0</v>
      </c>
    </row>
    <row r="132" spans="1:22" ht="12.75" customHeight="1">
      <c r="A132" s="39" t="s">
        <v>884</v>
      </c>
      <c r="B132" s="39"/>
      <c r="C132" s="40"/>
      <c r="D132" s="39"/>
      <c r="E132" s="39"/>
      <c r="F132" s="39"/>
      <c r="G132" s="39"/>
      <c r="H132" s="39"/>
      <c r="I132" s="39"/>
      <c r="J132" s="39"/>
      <c r="K132" s="39"/>
      <c r="L132" s="39"/>
      <c r="M132" s="39"/>
      <c r="N132" s="39"/>
      <c r="O132" s="39"/>
      <c r="P132" s="39"/>
      <c r="Q132" s="39"/>
      <c r="R132" s="39"/>
      <c r="S132" s="39"/>
      <c r="T132" s="39"/>
      <c r="U132" s="39"/>
      <c r="V132" s="39"/>
    </row>
    <row r="134" spans="1:22">
      <c r="E134" s="378" t="str">
        <f xml:space="preserve"> Profiling!E$246</f>
        <v>Residential retail revenue adjustment active</v>
      </c>
      <c r="F134" s="378">
        <f xml:space="preserve"> Profiling!F$246</f>
        <v>0</v>
      </c>
      <c r="G134" s="378" t="str">
        <f xml:space="preserve"> Profiling!G$246</f>
        <v>£m</v>
      </c>
      <c r="H134" s="378">
        <f xml:space="preserve"> Profiling!H$246</f>
        <v>-11.913839566883787</v>
      </c>
      <c r="I134" s="378">
        <f xml:space="preserve"> Profiling!I$246</f>
        <v>0</v>
      </c>
      <c r="J134" s="382">
        <f xml:space="preserve"> Profiling!J$246</f>
        <v>0</v>
      </c>
      <c r="K134" s="378">
        <f xml:space="preserve"> Profiling!K$246</f>
        <v>0</v>
      </c>
      <c r="L134" s="378">
        <f xml:space="preserve"> Profiling!L$246</f>
        <v>0</v>
      </c>
      <c r="M134" s="378">
        <f xml:space="preserve"> Profiling!M$246</f>
        <v>0</v>
      </c>
      <c r="N134" s="378">
        <f xml:space="preserve"> Profiling!N$246</f>
        <v>0</v>
      </c>
      <c r="O134" s="378">
        <f xml:space="preserve"> Profiling!O$246</f>
        <v>0</v>
      </c>
      <c r="P134" s="378">
        <f xml:space="preserve"> Profiling!P$246</f>
        <v>0</v>
      </c>
      <c r="Q134" s="378">
        <f xml:space="preserve"> Profiling!Q$246</f>
        <v>0</v>
      </c>
      <c r="R134" s="378">
        <f xml:space="preserve"> Profiling!R$246</f>
        <v>-2.2399142243557089</v>
      </c>
      <c r="S134" s="378">
        <f xml:space="preserve"> Profiling!S$246</f>
        <v>-2.3091275738883001</v>
      </c>
      <c r="T134" s="378">
        <f xml:space="preserve"> Profiling!T$246</f>
        <v>-2.3804796159214487</v>
      </c>
      <c r="U134" s="378">
        <f xml:space="preserve"> Profiling!U$246</f>
        <v>-2.4542410521041558</v>
      </c>
      <c r="V134" s="378">
        <f xml:space="preserve"> Profiling!V$246</f>
        <v>-2.5300771006141742</v>
      </c>
    </row>
    <row r="135" spans="1:22">
      <c r="E135" s="378" t="str">
        <f xml:space="preserve"> Profiling!E$247</f>
        <v>Business retail revenue adjustment active</v>
      </c>
      <c r="F135" s="378">
        <f xml:space="preserve"> Profiling!F$247</f>
        <v>0</v>
      </c>
      <c r="G135" s="378" t="str">
        <f xml:space="preserve"> Profiling!G$247</f>
        <v>£m</v>
      </c>
      <c r="H135" s="378">
        <f xml:space="preserve"> Profiling!H$247</f>
        <v>0</v>
      </c>
      <c r="I135" s="378">
        <f xml:space="preserve"> Profiling!I$247</f>
        <v>0</v>
      </c>
      <c r="J135" s="378">
        <f xml:space="preserve"> Profiling!J$247</f>
        <v>0</v>
      </c>
      <c r="K135" s="378">
        <f xml:space="preserve"> Profiling!K$247</f>
        <v>0</v>
      </c>
      <c r="L135" s="378">
        <f xml:space="preserve"> Profiling!L$247</f>
        <v>0</v>
      </c>
      <c r="M135" s="378">
        <f xml:space="preserve"> Profiling!M$247</f>
        <v>0</v>
      </c>
      <c r="N135" s="378">
        <f xml:space="preserve"> Profiling!N$247</f>
        <v>0</v>
      </c>
      <c r="O135" s="378">
        <f xml:space="preserve"> Profiling!O$247</f>
        <v>0</v>
      </c>
      <c r="P135" s="378">
        <f xml:space="preserve"> Profiling!P$247</f>
        <v>0</v>
      </c>
      <c r="Q135" s="378">
        <f xml:space="preserve"> Profiling!Q$247</f>
        <v>0</v>
      </c>
      <c r="R135" s="378">
        <f xml:space="preserve"> Profiling!R$247</f>
        <v>0</v>
      </c>
      <c r="S135" s="378">
        <f xml:space="preserve"> Profiling!S$247</f>
        <v>0</v>
      </c>
      <c r="T135" s="378">
        <f xml:space="preserve"> Profiling!T$247</f>
        <v>0</v>
      </c>
      <c r="U135" s="378">
        <f xml:space="preserve"> Profiling!U$247</f>
        <v>0</v>
      </c>
      <c r="V135" s="378">
        <f xml:space="preserve"> Profiling!V$247</f>
        <v>0</v>
      </c>
    </row>
    <row r="138" spans="1:22" s="10" customFormat="1">
      <c r="A138" s="375" t="s">
        <v>885</v>
      </c>
      <c r="B138" s="375"/>
      <c r="C138" s="375"/>
      <c r="D138" s="375"/>
      <c r="E138" s="375"/>
      <c r="F138" s="375"/>
      <c r="G138" s="375"/>
      <c r="H138" s="375"/>
      <c r="I138" s="375"/>
      <c r="J138" s="375"/>
      <c r="K138" s="375"/>
      <c r="L138" s="375"/>
      <c r="M138" s="375"/>
      <c r="N138" s="375"/>
      <c r="O138" s="375"/>
      <c r="P138" s="375"/>
      <c r="Q138" s="375"/>
      <c r="R138" s="375"/>
      <c r="S138" s="375"/>
      <c r="T138" s="375"/>
      <c r="U138" s="375"/>
      <c r="V138" s="375"/>
    </row>
  </sheetData>
  <conditionalFormatting sqref="F30">
    <cfRule type="cellIs" dxfId="16" priority="6" operator="greaterThan">
      <formula>0</formula>
    </cfRule>
  </conditionalFormatting>
  <conditionalFormatting sqref="F63">
    <cfRule type="cellIs" dxfId="15" priority="5" operator="greaterThan">
      <formula>0</formula>
    </cfRule>
  </conditionalFormatting>
  <conditionalFormatting sqref="F90">
    <cfRule type="cellIs" dxfId="14" priority="4" operator="greaterThan">
      <formula>0</formula>
    </cfRule>
  </conditionalFormatting>
  <conditionalFormatting sqref="F110">
    <cfRule type="cellIs" dxfId="13" priority="3" operator="greaterThan">
      <formula>0</formula>
    </cfRule>
  </conditionalFormatting>
  <conditionalFormatting sqref="F130">
    <cfRule type="cellIs" dxfId="12" priority="2" operator="greaterThan">
      <formula>0</formula>
    </cfRule>
  </conditionalFormatting>
  <conditionalFormatting sqref="F2">
    <cfRule type="cellIs" dxfId="11" priority="1" operator="greaterThan">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7" stopIfTrue="1" operator="equal" id="{A5E0B4DB-1897-45D3-A68F-490AF2D9FBFE}">
            <xm:f>Inputs!$F$21</xm:f>
            <x14:dxf>
              <fill>
                <patternFill>
                  <bgColor indexed="44"/>
                </patternFill>
              </fill>
            </x14:dxf>
          </x14:cfRule>
          <x14:cfRule type="cellIs" priority="8" stopIfTrue="1" operator="equal" id="{5BB1CF19-4F9E-4D5C-A135-23BF9BA7EE01}">
            <xm:f>Inputs!$F$20</xm:f>
            <x14:dxf>
              <fill>
                <patternFill>
                  <bgColor indexed="47"/>
                </patternFill>
              </fill>
            </x14:dxf>
          </x14:cfRule>
          <xm:sqref>J3:V3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9CCFF"/>
    <outlinePr summaryBelow="0" summaryRight="0"/>
    <pageSetUpPr fitToPage="1"/>
  </sheetPr>
  <dimension ref="A1:V100"/>
  <sheetViews>
    <sheetView showGridLines="0" defaultGridColor="0" colorId="22" zoomScale="70" zoomScaleNormal="70" workbookViewId="0">
      <pane xSplit="9" ySplit="5" topLeftCell="J64" activePane="bottomRight" state="frozen"/>
      <selection pane="bottomRight" activeCell="H77" sqref="H77"/>
      <selection pane="bottomLeft" activeCell="F2" sqref="F2"/>
      <selection pane="topRight" activeCell="F2" sqref="F2"/>
    </sheetView>
  </sheetViews>
  <sheetFormatPr defaultColWidth="0" defaultRowHeight="12.75"/>
  <cols>
    <col min="1" max="1" width="32.140625" style="10" customWidth="1"/>
    <col min="2" max="2" width="1.28515625" style="10" customWidth="1"/>
    <col min="3" max="3" width="1.28515625" style="2" customWidth="1"/>
    <col min="4" max="4" width="1.28515625" style="3" customWidth="1"/>
    <col min="5" max="5" width="95.14062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c r="A1" s="26" t="e">
        <f ca="1" xml:space="preserve"> RIGHT(CELL("filename", $A$1), LEN(CELL("filename", $A$1)) - SEARCH("]", CELL("filename", $A$1)))</f>
        <v>#VALUE!</v>
      </c>
      <c r="B1" s="26"/>
      <c r="C1" s="27"/>
      <c r="D1" s="1"/>
      <c r="E1" s="1"/>
      <c r="F1" s="142"/>
      <c r="G1" s="143"/>
      <c r="H1" s="139"/>
      <c r="I1" s="1"/>
      <c r="J1" s="88"/>
      <c r="K1" s="1"/>
      <c r="L1" s="1"/>
      <c r="M1" s="1"/>
      <c r="N1" s="1"/>
      <c r="O1" s="1"/>
      <c r="P1" s="1"/>
      <c r="Q1" s="1"/>
      <c r="R1" s="1"/>
      <c r="S1" s="1"/>
      <c r="T1" s="1"/>
      <c r="U1" s="1"/>
      <c r="V1" s="1"/>
    </row>
    <row r="2" spans="1:22" ht="12.75" customHeight="1">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c r="E5" s="3" t="str">
        <f xml:space="preserve"> Time!E$10</f>
        <v>Model column counter</v>
      </c>
      <c r="F5" s="29" t="s">
        <v>538</v>
      </c>
      <c r="G5" s="10" t="s">
        <v>105</v>
      </c>
      <c r="H5" s="29"/>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c r="A7" s="39" t="s">
        <v>886</v>
      </c>
      <c r="B7" s="39"/>
      <c r="C7" s="40"/>
      <c r="D7" s="39"/>
      <c r="E7" s="39"/>
      <c r="F7" s="39"/>
      <c r="G7" s="39"/>
      <c r="H7" s="39"/>
      <c r="I7" s="39"/>
      <c r="J7" s="39"/>
      <c r="K7" s="39"/>
      <c r="L7" s="39"/>
      <c r="M7" s="39"/>
      <c r="N7" s="39"/>
      <c r="O7" s="39"/>
      <c r="P7" s="39"/>
      <c r="Q7" s="39"/>
      <c r="R7" s="39"/>
      <c r="S7" s="39"/>
      <c r="T7" s="39"/>
      <c r="U7" s="39"/>
      <c r="V7" s="39"/>
    </row>
    <row r="9" spans="1:22">
      <c r="B9" s="10" t="s">
        <v>887</v>
      </c>
      <c r="C9"/>
      <c r="D9"/>
      <c r="E9" s="171"/>
      <c r="F9" s="171"/>
      <c r="G9" s="171"/>
      <c r="H9" s="171"/>
      <c r="I9" s="171"/>
      <c r="J9" s="171"/>
      <c r="K9" s="171"/>
      <c r="L9" s="171"/>
      <c r="M9" s="171"/>
      <c r="N9" s="171"/>
      <c r="O9" s="171"/>
      <c r="P9" s="171"/>
      <c r="Q9" s="171"/>
      <c r="R9" s="171"/>
      <c r="S9" s="171"/>
      <c r="T9" s="171"/>
      <c r="U9" s="171"/>
      <c r="V9" s="171"/>
    </row>
    <row r="10" spans="1:22">
      <c r="A10" s="352" t="str">
        <f xml:space="preserve"> Calc!A$157 &amp; "_PR19PD011"</f>
        <v>C_APP25004_PR19PD011</v>
      </c>
      <c r="E10" s="171" t="str">
        <f xml:space="preserve"> Calc!E$157</f>
        <v>Further 2010-15 reconciliation total adjustment revenue carry forward to PR19 ~ Water network plus at 2017-18 FYA CPIH deflated price base</v>
      </c>
      <c r="F10" s="382">
        <f xml:space="preserve"> Calc!F$157</f>
        <v>0.99927639045034722</v>
      </c>
      <c r="G10" s="171" t="str">
        <f xml:space="preserve"> Calc!G$157</f>
        <v>£m</v>
      </c>
      <c r="H10" s="171"/>
      <c r="I10" s="171"/>
      <c r="J10" s="171"/>
      <c r="K10" s="171"/>
      <c r="L10" s="171"/>
      <c r="M10" s="171"/>
      <c r="N10" s="171"/>
      <c r="O10" s="171"/>
      <c r="P10" s="171"/>
      <c r="Q10" s="171"/>
      <c r="R10" s="171"/>
      <c r="S10" s="171"/>
      <c r="T10" s="171"/>
      <c r="U10" s="171"/>
      <c r="V10" s="171"/>
    </row>
    <row r="11" spans="1:22">
      <c r="A11" s="352" t="str">
        <f xml:space="preserve"> Calc!A$166 &amp; "_PR19PD011"</f>
        <v>C_APP25006_PR19PD011</v>
      </c>
      <c r="E11" s="171" t="str">
        <f xml:space="preserve"> Calc!E$166</f>
        <v>Further 2010-15 reconciliation total adjustment revenue carry forward to PR19 ~ Wastewater network plus at 2017-18 FYA CPIH deflated price base</v>
      </c>
      <c r="F11" s="171">
        <f xml:space="preserve"> Calc!F$166</f>
        <v>0</v>
      </c>
      <c r="G11" s="171" t="str">
        <f xml:space="preserve"> Calc!G$166</f>
        <v>£m</v>
      </c>
      <c r="H11" s="171"/>
      <c r="I11" s="171"/>
      <c r="J11" s="171"/>
      <c r="K11" s="171"/>
      <c r="L11" s="171"/>
      <c r="M11" s="171"/>
      <c r="N11" s="171"/>
      <c r="O11" s="171"/>
      <c r="P11" s="171"/>
      <c r="Q11" s="171"/>
      <c r="R11" s="171"/>
      <c r="S11" s="171"/>
      <c r="T11" s="171"/>
      <c r="U11" s="171"/>
      <c r="V11" s="171"/>
    </row>
    <row r="12" spans="1:22">
      <c r="A12" s="356"/>
      <c r="E12" s="171"/>
      <c r="F12" s="171"/>
      <c r="G12" s="171"/>
      <c r="H12" s="171"/>
      <c r="I12" s="171"/>
      <c r="J12" s="171"/>
      <c r="K12" s="171"/>
      <c r="L12" s="171"/>
      <c r="M12" s="171"/>
      <c r="N12" s="171"/>
      <c r="O12" s="171"/>
      <c r="P12" s="171"/>
      <c r="Q12" s="171"/>
      <c r="R12" s="171"/>
      <c r="S12" s="171"/>
      <c r="T12" s="171"/>
      <c r="U12" s="171"/>
      <c r="V12" s="171"/>
    </row>
    <row r="13" spans="1:22">
      <c r="A13" s="356"/>
      <c r="B13" s="10" t="s">
        <v>888</v>
      </c>
    </row>
    <row r="14" spans="1:22">
      <c r="A14" s="352" t="str">
        <f xml:space="preserve"> Calc!A$153 &amp; "_PR19PD011"</f>
        <v>C_APP27034_PR19PD011</v>
      </c>
      <c r="E14" s="171" t="str">
        <f xml:space="preserve"> Calc!E$153</f>
        <v>ODI in-period revenue adjustment ~ Water resources at 2017-18 FYA CPIH deflated price base</v>
      </c>
      <c r="F14" s="171">
        <f xml:space="preserve"> Calc!F$153</f>
        <v>0</v>
      </c>
      <c r="G14" s="171" t="str">
        <f xml:space="preserve"> Calc!G$153</f>
        <v>£m</v>
      </c>
      <c r="H14" s="171"/>
      <c r="I14" s="171"/>
      <c r="J14" s="171"/>
      <c r="K14" s="171"/>
      <c r="L14" s="171"/>
      <c r="M14" s="171"/>
      <c r="N14" s="171"/>
      <c r="O14" s="171"/>
      <c r="P14" s="171"/>
      <c r="Q14" s="171"/>
      <c r="R14" s="171"/>
      <c r="S14" s="171"/>
      <c r="T14" s="171"/>
      <c r="U14" s="171"/>
      <c r="V14" s="171"/>
    </row>
    <row r="15" spans="1:22">
      <c r="A15" s="352" t="str">
        <f xml:space="preserve"> Calc!A$158 &amp; "_PR19PD011"</f>
        <v>C_APP27035_PR19PD011</v>
      </c>
      <c r="E15" s="171" t="str">
        <f xml:space="preserve"> Calc!E$158</f>
        <v>ODI in-period revenue adjustment ~ Water network plus at 2017-18 FYA CPIH deflated price base</v>
      </c>
      <c r="F15" s="171">
        <f xml:space="preserve"> Calc!F$158</f>
        <v>0</v>
      </c>
      <c r="G15" s="171" t="str">
        <f xml:space="preserve"> Calc!G$158</f>
        <v>£m</v>
      </c>
      <c r="H15" s="171"/>
      <c r="I15" s="171"/>
      <c r="J15" s="171"/>
      <c r="K15" s="171"/>
      <c r="L15" s="171"/>
      <c r="M15" s="171"/>
      <c r="N15" s="171"/>
      <c r="O15" s="171"/>
      <c r="P15" s="171"/>
      <c r="Q15" s="171"/>
      <c r="R15" s="171"/>
      <c r="S15" s="171"/>
      <c r="T15" s="171"/>
      <c r="U15" s="171"/>
      <c r="V15" s="171"/>
    </row>
    <row r="16" spans="1:22">
      <c r="A16" s="352" t="str">
        <f xml:space="preserve"> Calc!A$164 &amp; "_PR19PD011"</f>
        <v>C_APP27037_PR19PD011</v>
      </c>
      <c r="E16" s="171" t="str">
        <f xml:space="preserve"> Calc!E$164</f>
        <v>ODI in-period revenue adjustment ~ Bioresources at 2017-18 FYA CPIH deflated price base</v>
      </c>
      <c r="F16" s="171">
        <f xml:space="preserve"> Calc!F$164</f>
        <v>0</v>
      </c>
      <c r="G16" s="171" t="str">
        <f xml:space="preserve"> Calc!G$164</f>
        <v>£m</v>
      </c>
      <c r="H16" s="171"/>
      <c r="I16" s="171"/>
      <c r="J16" s="171"/>
      <c r="K16" s="171"/>
      <c r="L16" s="171"/>
      <c r="M16" s="171"/>
      <c r="N16" s="171"/>
      <c r="O16" s="171"/>
      <c r="P16" s="171"/>
      <c r="Q16" s="171"/>
      <c r="R16" s="171"/>
      <c r="S16" s="171"/>
      <c r="T16" s="171"/>
      <c r="U16" s="171"/>
      <c r="V16" s="171"/>
    </row>
    <row r="17" spans="1:22">
      <c r="A17" s="352" t="str">
        <f xml:space="preserve"> Calc!A$167 &amp; "_PR19PD011"</f>
        <v>C_APP27036_PR19PD011</v>
      </c>
      <c r="E17" s="171" t="str">
        <f xml:space="preserve"> Calc!E$167</f>
        <v>ODI in-period revenue adjustment ~ Wastewater network plus at 2017-18 FYA CPIH deflated price base</v>
      </c>
      <c r="F17" s="171">
        <f xml:space="preserve"> Calc!F$167</f>
        <v>0</v>
      </c>
      <c r="G17" s="171" t="str">
        <f xml:space="preserve"> Calc!G$167</f>
        <v>£m</v>
      </c>
      <c r="H17" s="171"/>
      <c r="I17" s="171"/>
      <c r="J17" s="171"/>
      <c r="K17" s="171"/>
      <c r="L17" s="171"/>
      <c r="M17" s="171"/>
      <c r="N17" s="171"/>
      <c r="O17" s="171"/>
      <c r="P17" s="171"/>
      <c r="Q17" s="171"/>
      <c r="R17" s="171"/>
      <c r="S17" s="171"/>
      <c r="T17" s="171"/>
      <c r="U17" s="171"/>
      <c r="V17" s="171"/>
    </row>
    <row r="18" spans="1:22">
      <c r="A18" s="352" t="str">
        <f xml:space="preserve"> Calc!A$173 &amp; "_PR19PD011"</f>
        <v>C_APP27038_PR19PD011</v>
      </c>
      <c r="E18" s="171" t="str">
        <f xml:space="preserve"> Calc!E$173</f>
        <v>ODI in-period revenue adjustment ~ Residential retail at 2017-18 FYA CPIH deflated price base</v>
      </c>
      <c r="F18" s="171">
        <f xml:space="preserve"> Calc!F$173</f>
        <v>0</v>
      </c>
      <c r="G18" s="171" t="str">
        <f xml:space="preserve"> Calc!G$173</f>
        <v>£m</v>
      </c>
      <c r="H18" s="171"/>
      <c r="I18" s="171"/>
      <c r="J18" s="171"/>
      <c r="K18" s="171"/>
      <c r="L18" s="171"/>
      <c r="M18" s="171"/>
      <c r="N18" s="171"/>
      <c r="O18" s="171"/>
      <c r="P18" s="171"/>
      <c r="Q18" s="171"/>
      <c r="R18" s="171"/>
      <c r="S18" s="171"/>
      <c r="T18" s="171"/>
      <c r="U18" s="171"/>
      <c r="V18" s="171"/>
    </row>
    <row r="19" spans="1:22">
      <c r="A19" s="352" t="str">
        <f xml:space="preserve"> Calc!A$177 &amp; "_PR19PD011"</f>
        <v>C_APP27039_PR19PD011</v>
      </c>
      <c r="E19" s="171" t="str">
        <f xml:space="preserve"> Calc!E$177</f>
        <v>ODI in-period revenue adjustment ~ Business retail at 2017-18 FYA CPIH deflated price base</v>
      </c>
      <c r="F19" s="171">
        <f xml:space="preserve"> Calc!F$177</f>
        <v>0</v>
      </c>
      <c r="G19" s="171" t="str">
        <f xml:space="preserve"> Calc!G$177</f>
        <v>£m</v>
      </c>
      <c r="H19" s="171"/>
      <c r="I19" s="171"/>
      <c r="J19" s="171"/>
      <c r="K19" s="171"/>
      <c r="L19" s="171"/>
      <c r="M19" s="171"/>
      <c r="N19" s="171"/>
      <c r="O19" s="171"/>
      <c r="P19" s="171"/>
      <c r="Q19" s="171"/>
      <c r="R19" s="171"/>
      <c r="S19" s="171"/>
      <c r="T19" s="171"/>
      <c r="U19" s="171"/>
      <c r="V19" s="171"/>
    </row>
    <row r="20" spans="1:22">
      <c r="A20" s="356"/>
      <c r="E20" s="171"/>
      <c r="F20" s="171"/>
      <c r="G20" s="171"/>
      <c r="H20" s="171"/>
      <c r="I20" s="171"/>
      <c r="J20" s="171"/>
      <c r="K20" s="171"/>
      <c r="L20" s="171"/>
      <c r="M20" s="171"/>
      <c r="N20" s="171"/>
      <c r="O20" s="171"/>
      <c r="P20" s="171"/>
      <c r="Q20" s="171"/>
      <c r="R20" s="171"/>
      <c r="S20" s="171"/>
      <c r="T20" s="171"/>
      <c r="U20" s="171"/>
      <c r="V20" s="171"/>
    </row>
    <row r="21" spans="1:22">
      <c r="A21" s="352" t="str">
        <f xml:space="preserve"> Calc!A$154 &amp; "_PR19PD011"</f>
        <v>C_APP27041_PR19PD011</v>
      </c>
      <c r="E21" s="171" t="str">
        <f xml:space="preserve"> Calc!E$154</f>
        <v>ODI end of period revenue adjustment ~ Water resources at 2017-18 FYA CPIH deflated price base</v>
      </c>
      <c r="F21" s="378">
        <f xml:space="preserve"> Calc!F$154</f>
        <v>1.4552389089808715</v>
      </c>
      <c r="G21" s="171" t="str">
        <f xml:space="preserve"> Calc!G$154</f>
        <v>£m</v>
      </c>
      <c r="H21" s="171"/>
      <c r="I21" s="171"/>
      <c r="J21" s="171"/>
      <c r="K21" s="171"/>
      <c r="L21" s="171"/>
      <c r="M21" s="171"/>
      <c r="N21" s="171"/>
      <c r="O21" s="171"/>
      <c r="P21" s="171"/>
      <c r="Q21" s="171"/>
      <c r="R21" s="171"/>
      <c r="S21" s="171"/>
      <c r="T21" s="171"/>
      <c r="U21" s="171"/>
      <c r="V21" s="171"/>
    </row>
    <row r="22" spans="1:22">
      <c r="A22" s="352" t="str">
        <f xml:space="preserve"> Calc!A$159 &amp; "_PR19PD011"</f>
        <v>C_APP27042_PR19PD011</v>
      </c>
      <c r="E22" s="171" t="str">
        <f xml:space="preserve"> Calc!E$159</f>
        <v>ODI end of period revenue adjustment ~ Water network plus at 2017-18 FYA CPIH deflated price base</v>
      </c>
      <c r="F22" s="378">
        <f xml:space="preserve"> Calc!F$159</f>
        <v>-14.852639963519394</v>
      </c>
      <c r="G22" s="171" t="str">
        <f xml:space="preserve"> Calc!G$159</f>
        <v>£m</v>
      </c>
      <c r="H22" s="171"/>
      <c r="I22" s="171"/>
      <c r="J22" s="171"/>
      <c r="K22" s="171"/>
      <c r="L22" s="171"/>
      <c r="M22" s="171"/>
      <c r="N22" s="171"/>
      <c r="O22" s="171"/>
      <c r="P22" s="171"/>
      <c r="Q22" s="171"/>
      <c r="R22" s="171"/>
      <c r="S22" s="171"/>
      <c r="T22" s="171"/>
      <c r="U22" s="171"/>
      <c r="V22" s="171"/>
    </row>
    <row r="23" spans="1:22">
      <c r="A23" s="352" t="str">
        <f xml:space="preserve"> Calc!A$165 &amp; "_PR19PD011"</f>
        <v>C_APP27044_PR19PD011</v>
      </c>
      <c r="E23" s="171" t="str">
        <f xml:space="preserve"> Calc!E$165</f>
        <v>ODI end of period revenue adjustment ~ Bioresources at 2017-18 FYA CPIH deflated price base</v>
      </c>
      <c r="F23" s="171">
        <f xml:space="preserve"> Calc!F$165</f>
        <v>0</v>
      </c>
      <c r="G23" s="171" t="str">
        <f xml:space="preserve"> Calc!G$165</f>
        <v>£m</v>
      </c>
      <c r="H23" s="171"/>
      <c r="I23" s="171"/>
      <c r="J23" s="171"/>
      <c r="K23" s="171"/>
      <c r="L23" s="171"/>
      <c r="M23" s="171"/>
      <c r="N23" s="171"/>
      <c r="O23" s="171"/>
      <c r="P23" s="171"/>
      <c r="Q23" s="171"/>
      <c r="R23" s="171"/>
      <c r="S23" s="171"/>
      <c r="T23" s="171"/>
      <c r="U23" s="171"/>
      <c r="V23" s="171"/>
    </row>
    <row r="24" spans="1:22">
      <c r="A24" s="352" t="str">
        <f xml:space="preserve"> Calc!A$168 &amp; "_PR19PD011"</f>
        <v>C_APP27043_PR19PD011</v>
      </c>
      <c r="E24" s="171" t="str">
        <f xml:space="preserve"> Calc!E$168</f>
        <v>ODI end of period revenue adjustment ~ Wastewater network plus at 2017-18 FYA CPIH deflated price base</v>
      </c>
      <c r="F24" s="171">
        <f xml:space="preserve"> Calc!F$168</f>
        <v>0</v>
      </c>
      <c r="G24" s="171" t="str">
        <f xml:space="preserve"> Calc!G$168</f>
        <v>£m</v>
      </c>
      <c r="H24" s="171"/>
      <c r="I24" s="171"/>
      <c r="J24" s="171"/>
      <c r="K24" s="171"/>
      <c r="L24" s="171"/>
      <c r="M24" s="171"/>
      <c r="N24" s="171"/>
      <c r="O24" s="171"/>
      <c r="P24" s="171"/>
      <c r="Q24" s="171"/>
      <c r="R24" s="171"/>
      <c r="S24" s="171"/>
      <c r="T24" s="171"/>
      <c r="U24" s="171"/>
      <c r="V24" s="171"/>
    </row>
    <row r="25" spans="1:22">
      <c r="A25" s="352" t="str">
        <f xml:space="preserve"> Calc!A$174 &amp; "_PR19PD011"</f>
        <v>C_APP27045_PR19PD011</v>
      </c>
      <c r="E25" s="171" t="str">
        <f xml:space="preserve"> Calc!E$174</f>
        <v>ODI end of period revenue adjustment ~ Residential retail at 2017-18 FYA CPIH deflated price base</v>
      </c>
      <c r="F25" s="171">
        <f xml:space="preserve"> Calc!F$174</f>
        <v>0</v>
      </c>
      <c r="G25" s="171" t="str">
        <f xml:space="preserve"> Calc!G$174</f>
        <v>£m</v>
      </c>
      <c r="H25" s="171"/>
      <c r="I25" s="171"/>
      <c r="J25" s="171"/>
      <c r="K25" s="171"/>
      <c r="L25" s="171"/>
      <c r="M25" s="171"/>
      <c r="N25" s="171"/>
      <c r="O25" s="171"/>
      <c r="P25" s="171"/>
      <c r="Q25" s="171"/>
      <c r="R25" s="171"/>
      <c r="S25" s="171"/>
      <c r="T25" s="171"/>
      <c r="U25" s="171"/>
      <c r="V25" s="171"/>
    </row>
    <row r="26" spans="1:22">
      <c r="A26" s="352" t="str">
        <f xml:space="preserve"> Calc!A$178 &amp; "_PR19PD011"</f>
        <v>C_APP27046_PR19PD011</v>
      </c>
      <c r="E26" s="171" t="str">
        <f xml:space="preserve"> Calc!E$178</f>
        <v>ODI end of period revenue adjustment ~ Business retail at 2017-18 FYA CPIH deflated price base</v>
      </c>
      <c r="F26" s="171">
        <f xml:space="preserve"> Calc!F$178</f>
        <v>0</v>
      </c>
      <c r="G26" s="171" t="str">
        <f xml:space="preserve"> Calc!G$178</f>
        <v>£m</v>
      </c>
      <c r="H26" s="171"/>
      <c r="I26" s="171"/>
      <c r="J26" s="171"/>
      <c r="K26" s="171"/>
      <c r="L26" s="171"/>
      <c r="M26" s="171"/>
      <c r="N26" s="171"/>
      <c r="O26" s="171"/>
      <c r="P26" s="171"/>
      <c r="Q26" s="171"/>
      <c r="R26" s="171"/>
      <c r="S26" s="171"/>
      <c r="T26" s="171"/>
      <c r="U26" s="171"/>
      <c r="V26" s="171"/>
    </row>
    <row r="27" spans="1:22">
      <c r="A27" s="356"/>
      <c r="E27" s="171"/>
      <c r="F27" s="171"/>
      <c r="G27" s="171"/>
      <c r="H27" s="171"/>
      <c r="I27" s="171"/>
      <c r="J27" s="171"/>
      <c r="K27" s="171"/>
      <c r="L27" s="171"/>
      <c r="M27" s="171"/>
      <c r="N27" s="171"/>
      <c r="O27" s="171"/>
      <c r="P27" s="171"/>
      <c r="Q27" s="171"/>
      <c r="R27" s="171"/>
      <c r="S27" s="171"/>
      <c r="T27" s="171"/>
      <c r="U27" s="171"/>
      <c r="V27" s="171"/>
    </row>
    <row r="28" spans="1:22">
      <c r="A28" s="356"/>
      <c r="B28" s="10" t="s">
        <v>889</v>
      </c>
      <c r="E28" s="171"/>
      <c r="F28" s="171"/>
      <c r="G28" s="171"/>
      <c r="H28" s="171"/>
      <c r="I28" s="171"/>
      <c r="J28" s="171"/>
      <c r="K28" s="171"/>
      <c r="L28" s="171"/>
      <c r="M28" s="171"/>
      <c r="N28" s="171"/>
      <c r="O28" s="171"/>
      <c r="P28" s="171"/>
      <c r="Q28" s="171"/>
      <c r="R28" s="171"/>
      <c r="S28" s="171"/>
      <c r="T28" s="171"/>
      <c r="U28" s="171"/>
      <c r="V28" s="171"/>
    </row>
    <row r="29" spans="1:22">
      <c r="A29" s="352" t="str">
        <f xml:space="preserve"> Calc!A$163 &amp; "_PR19PD011"</f>
        <v>C_WS13027_PR19PD011</v>
      </c>
      <c r="E29" s="171" t="str">
        <f xml:space="preserve"> Calc!E$163</f>
        <v>WRFIM total reward / (penalty) at the end of AMP6 ~ Water network plus at 2017-18 FYA CPIH deflated price base</v>
      </c>
      <c r="F29" s="378">
        <f xml:space="preserve"> Calc!F$163</f>
        <v>9.9800491455560447</v>
      </c>
      <c r="G29" s="171" t="str">
        <f xml:space="preserve"> Calc!G$163</f>
        <v>£m</v>
      </c>
      <c r="H29" s="171"/>
      <c r="I29" s="171"/>
      <c r="J29" s="171"/>
      <c r="K29" s="171"/>
      <c r="L29" s="171"/>
      <c r="M29" s="171"/>
      <c r="N29" s="171"/>
      <c r="O29" s="171"/>
      <c r="P29" s="171"/>
      <c r="Q29" s="171"/>
      <c r="R29" s="171"/>
      <c r="S29" s="171"/>
      <c r="T29" s="171"/>
      <c r="U29" s="171"/>
      <c r="V29" s="171"/>
    </row>
    <row r="30" spans="1:22">
      <c r="A30" s="356"/>
      <c r="E30" s="171"/>
      <c r="F30" s="171"/>
      <c r="G30" s="171"/>
      <c r="H30" s="171"/>
      <c r="I30" s="171"/>
      <c r="J30" s="171"/>
      <c r="K30" s="171"/>
      <c r="L30" s="171"/>
      <c r="M30" s="171"/>
      <c r="N30" s="171"/>
      <c r="O30" s="171"/>
      <c r="P30" s="171"/>
      <c r="Q30" s="171"/>
      <c r="R30" s="171"/>
      <c r="S30" s="171"/>
      <c r="T30" s="171"/>
      <c r="U30" s="171"/>
      <c r="V30" s="171"/>
    </row>
    <row r="31" spans="1:22">
      <c r="A31" s="356"/>
      <c r="B31" s="10" t="s">
        <v>890</v>
      </c>
      <c r="C31"/>
      <c r="E31" s="171"/>
      <c r="F31" s="171"/>
      <c r="G31" s="171"/>
      <c r="H31" s="171"/>
      <c r="I31" s="171"/>
      <c r="J31" s="171"/>
      <c r="K31" s="171"/>
      <c r="L31" s="171"/>
      <c r="M31" s="171"/>
      <c r="N31" s="171"/>
      <c r="O31" s="171"/>
      <c r="P31" s="171"/>
      <c r="Q31" s="171"/>
      <c r="R31" s="171"/>
      <c r="S31" s="171"/>
      <c r="T31" s="171"/>
      <c r="U31" s="171"/>
      <c r="V31" s="171"/>
    </row>
    <row r="32" spans="1:22">
      <c r="A32" s="352" t="str">
        <f xml:space="preserve"> Calc!A$160 &amp; "_PR19PD011"</f>
        <v>C_WS15026_PR19PD011</v>
      </c>
      <c r="E32" s="171" t="str">
        <f xml:space="preserve"> Calc!E$160</f>
        <v>Water: Totex menu revenue adjustment at 2017-18 FYA CPIH deflated price base</v>
      </c>
      <c r="F32" s="378">
        <f xml:space="preserve"> Calc!F$160</f>
        <v>-8.2827827230531809E-2</v>
      </c>
      <c r="G32" s="171" t="str">
        <f xml:space="preserve"> Calc!G$160</f>
        <v>£m</v>
      </c>
      <c r="H32" s="171"/>
      <c r="I32" s="171"/>
      <c r="J32" s="171"/>
      <c r="K32" s="171"/>
      <c r="L32" s="171"/>
      <c r="M32" s="171"/>
      <c r="N32" s="171"/>
      <c r="O32" s="171"/>
      <c r="P32" s="171"/>
      <c r="Q32" s="171"/>
      <c r="R32" s="171"/>
      <c r="S32" s="171"/>
      <c r="T32" s="171"/>
      <c r="U32" s="171"/>
      <c r="V32" s="171"/>
    </row>
    <row r="33" spans="1:22">
      <c r="A33" s="356"/>
      <c r="E33" s="171"/>
      <c r="F33" s="171"/>
      <c r="G33" s="171"/>
      <c r="H33" s="171"/>
      <c r="I33" s="171"/>
      <c r="J33" s="171"/>
      <c r="K33" s="171"/>
      <c r="L33" s="171"/>
      <c r="M33" s="171"/>
      <c r="N33" s="171"/>
      <c r="O33" s="171"/>
      <c r="P33" s="171"/>
      <c r="Q33" s="171"/>
      <c r="R33" s="171"/>
      <c r="S33" s="171"/>
      <c r="T33" s="171"/>
      <c r="U33" s="171"/>
      <c r="V33" s="171"/>
    </row>
    <row r="34" spans="1:22">
      <c r="A34" s="356"/>
      <c r="B34" s="10" t="s">
        <v>891</v>
      </c>
      <c r="E34" s="171"/>
      <c r="F34" s="171"/>
      <c r="G34" s="171"/>
      <c r="H34" s="171"/>
      <c r="I34" s="171"/>
      <c r="J34" s="171"/>
      <c r="K34" s="171"/>
      <c r="L34" s="171"/>
      <c r="M34" s="171"/>
      <c r="N34" s="171"/>
      <c r="O34" s="171"/>
      <c r="P34" s="171"/>
      <c r="Q34" s="171"/>
      <c r="R34" s="171"/>
      <c r="S34" s="171"/>
      <c r="T34" s="171"/>
      <c r="U34" s="171"/>
      <c r="V34" s="171"/>
    </row>
    <row r="35" spans="1:22">
      <c r="A35" s="352" t="str">
        <f xml:space="preserve"> Calc!A$155 &amp; "_PR19PD011"</f>
        <v>C_WS17027_PR19PD011</v>
      </c>
      <c r="E35" s="171" t="str">
        <f xml:space="preserve"> Calc!E$155</f>
        <v>Water trading total value of export incentive ~ Water resources at 2017-18 FYA CPIH deflated price base</v>
      </c>
      <c r="F35" s="171">
        <f xml:space="preserve"> Calc!F$155</f>
        <v>0</v>
      </c>
      <c r="G35" s="171" t="str">
        <f xml:space="preserve"> Calc!G$155</f>
        <v>£m</v>
      </c>
      <c r="H35" s="171"/>
      <c r="I35" s="171"/>
      <c r="J35" s="171"/>
      <c r="K35" s="171"/>
      <c r="L35" s="171"/>
      <c r="M35" s="171"/>
      <c r="N35" s="171"/>
      <c r="O35" s="171"/>
      <c r="P35" s="171"/>
      <c r="Q35" s="171"/>
      <c r="R35" s="171"/>
      <c r="S35" s="171"/>
      <c r="T35" s="171"/>
      <c r="U35" s="171"/>
      <c r="V35" s="171"/>
    </row>
    <row r="36" spans="1:22">
      <c r="A36" s="352" t="str">
        <f xml:space="preserve"> Calc!A$161 &amp; "_PR19PD011"</f>
        <v>C_WS17028_PR19PD011</v>
      </c>
      <c r="E36" s="171" t="str">
        <f xml:space="preserve"> Calc!E$161</f>
        <v>Water trading total value of export incentive ~ Water network plus at 2017-18 FYA CPIH deflated price base</v>
      </c>
      <c r="F36" s="171">
        <f xml:space="preserve"> Calc!F$161</f>
        <v>0</v>
      </c>
      <c r="G36" s="171" t="str">
        <f xml:space="preserve"> Calc!G$161</f>
        <v>£m</v>
      </c>
      <c r="H36" s="171"/>
      <c r="I36" s="171"/>
      <c r="J36" s="171"/>
      <c r="K36" s="171"/>
      <c r="L36" s="171"/>
      <c r="M36" s="171"/>
      <c r="N36" s="171"/>
      <c r="O36" s="171"/>
      <c r="P36" s="171"/>
      <c r="Q36" s="171"/>
      <c r="R36" s="171"/>
      <c r="S36" s="171"/>
      <c r="T36" s="171"/>
      <c r="U36" s="171"/>
      <c r="V36" s="171"/>
    </row>
    <row r="37" spans="1:22">
      <c r="A37" s="352" t="str">
        <f xml:space="preserve"> Calc!A$156 &amp; "_PR19PD011"</f>
        <v>C_WS17030_PR19PD011</v>
      </c>
      <c r="E37" s="171" t="str">
        <f xml:space="preserve"> Calc!E$156</f>
        <v>Water trading total value of import incentive ~ Water resources  at 2017-18 FYA CPIH deflated price base</v>
      </c>
      <c r="F37" s="171">
        <f xml:space="preserve"> Calc!F$156</f>
        <v>0</v>
      </c>
      <c r="G37" s="171" t="str">
        <f xml:space="preserve"> Calc!G$156</f>
        <v>£m</v>
      </c>
      <c r="H37" s="171"/>
      <c r="I37" s="171"/>
      <c r="J37" s="171"/>
      <c r="K37" s="171"/>
      <c r="L37" s="171"/>
      <c r="M37" s="171"/>
      <c r="N37" s="171"/>
      <c r="O37" s="171"/>
      <c r="P37" s="171"/>
      <c r="Q37" s="171"/>
      <c r="R37" s="171"/>
      <c r="S37" s="171"/>
      <c r="T37" s="171"/>
      <c r="U37" s="171"/>
      <c r="V37" s="171"/>
    </row>
    <row r="38" spans="1:22">
      <c r="A38" s="352" t="str">
        <f xml:space="preserve"> Calc!A$162 &amp; "_PR19PD011"</f>
        <v>C_WS17031_PR19PD011</v>
      </c>
      <c r="E38" s="171" t="str">
        <f xml:space="preserve"> Calc!E$162</f>
        <v>Water trading total value of import incentive ~ Water network plus at 2017-18 FYA CPIH deflated price base</v>
      </c>
      <c r="F38" s="171">
        <f xml:space="preserve"> Calc!F$162</f>
        <v>0</v>
      </c>
      <c r="G38" s="171" t="str">
        <f xml:space="preserve"> Calc!G$162</f>
        <v>£m</v>
      </c>
      <c r="H38" s="171"/>
      <c r="I38" s="171"/>
      <c r="J38" s="171"/>
      <c r="K38" s="171"/>
      <c r="L38" s="171"/>
      <c r="M38" s="171"/>
      <c r="N38" s="171"/>
      <c r="O38" s="171"/>
      <c r="P38" s="171"/>
      <c r="Q38" s="171"/>
      <c r="R38" s="171"/>
      <c r="S38" s="171"/>
      <c r="T38" s="171"/>
      <c r="U38" s="171"/>
      <c r="V38" s="171"/>
    </row>
    <row r="39" spans="1:22">
      <c r="A39" s="356"/>
      <c r="E39" s="171"/>
      <c r="F39" s="171"/>
      <c r="G39" s="171"/>
      <c r="H39" s="171"/>
      <c r="I39" s="171"/>
      <c r="J39" s="171"/>
      <c r="K39" s="171"/>
      <c r="L39" s="171"/>
      <c r="M39" s="171"/>
      <c r="N39" s="171"/>
      <c r="O39" s="171"/>
      <c r="P39" s="171"/>
      <c r="Q39" s="171"/>
      <c r="R39" s="171"/>
      <c r="S39" s="171"/>
      <c r="T39" s="171"/>
      <c r="U39" s="171"/>
      <c r="V39" s="171"/>
    </row>
    <row r="40" spans="1:22">
      <c r="A40" s="356"/>
      <c r="B40" s="10" t="s">
        <v>892</v>
      </c>
      <c r="E40" s="171"/>
      <c r="F40" s="171"/>
      <c r="G40" s="171"/>
      <c r="H40" s="171"/>
      <c r="I40" s="171"/>
      <c r="J40" s="171"/>
      <c r="K40" s="171"/>
      <c r="L40" s="171"/>
      <c r="M40" s="171"/>
      <c r="N40" s="171"/>
      <c r="O40" s="171"/>
      <c r="P40" s="171"/>
      <c r="Q40" s="171"/>
      <c r="R40" s="171"/>
      <c r="S40" s="171"/>
      <c r="T40" s="171"/>
      <c r="U40" s="171"/>
      <c r="V40" s="171"/>
    </row>
    <row r="41" spans="1:22">
      <c r="A41" s="352" t="str">
        <f xml:space="preserve"> Calc!A$170 &amp; "_PR19PD011"</f>
        <v>C_WWS13027_PR19PD011</v>
      </c>
      <c r="E41" s="171" t="str">
        <f xml:space="preserve"> Calc!E$170</f>
        <v>WRFIM total reward / (penalty) at the end of AMP6 ~ Wastewater network plus at 2017-18 FYA CPIH deflated price base</v>
      </c>
      <c r="F41" s="171">
        <f xml:space="preserve"> Calc!F$170</f>
        <v>0</v>
      </c>
      <c r="G41" s="171" t="str">
        <f xml:space="preserve"> Calc!G$170</f>
        <v>£m</v>
      </c>
      <c r="H41" s="171"/>
      <c r="I41" s="171"/>
      <c r="J41" s="171"/>
      <c r="K41" s="171"/>
      <c r="L41" s="171"/>
      <c r="M41" s="171"/>
      <c r="N41" s="171"/>
      <c r="O41" s="171"/>
      <c r="P41" s="171"/>
      <c r="Q41" s="171"/>
      <c r="R41" s="171"/>
      <c r="S41" s="171"/>
      <c r="T41" s="171"/>
      <c r="U41" s="171"/>
      <c r="V41" s="171"/>
    </row>
    <row r="42" spans="1:22">
      <c r="A42" s="356"/>
      <c r="E42" s="171"/>
      <c r="F42" s="171"/>
      <c r="G42" s="171"/>
      <c r="H42" s="171"/>
      <c r="I42" s="171"/>
      <c r="J42" s="171"/>
      <c r="K42" s="171"/>
      <c r="L42" s="171"/>
      <c r="M42" s="171"/>
      <c r="N42" s="171"/>
      <c r="O42" s="171"/>
      <c r="P42" s="171"/>
      <c r="Q42" s="171"/>
      <c r="R42" s="171"/>
      <c r="S42" s="171"/>
      <c r="T42" s="171"/>
      <c r="U42" s="171"/>
      <c r="V42" s="171"/>
    </row>
    <row r="43" spans="1:22">
      <c r="A43" s="356"/>
      <c r="B43" s="10" t="s">
        <v>893</v>
      </c>
      <c r="C43"/>
      <c r="E43" s="171"/>
      <c r="F43" s="171"/>
      <c r="G43" s="171"/>
      <c r="H43" s="171"/>
      <c r="I43" s="171"/>
      <c r="J43" s="171"/>
      <c r="K43" s="171"/>
      <c r="L43" s="171"/>
      <c r="M43" s="171"/>
      <c r="N43" s="171"/>
      <c r="O43" s="171"/>
      <c r="P43" s="171"/>
      <c r="Q43" s="171"/>
      <c r="R43" s="171"/>
      <c r="S43" s="171"/>
      <c r="T43" s="171"/>
      <c r="U43" s="171"/>
      <c r="V43" s="171"/>
    </row>
    <row r="44" spans="1:22">
      <c r="A44" s="352" t="str">
        <f xml:space="preserve"> Calc!A$169 &amp; "_PR19PD011"</f>
        <v>C_WWS15021_PR19PD011</v>
      </c>
      <c r="E44" s="171" t="str">
        <f xml:space="preserve"> Calc!E$169</f>
        <v>Wastewater: Totex menu revenue adjustment at 2017-18 FYA CPIH deflated price base</v>
      </c>
      <c r="F44" s="171">
        <f xml:space="preserve"> Calc!F$169</f>
        <v>0</v>
      </c>
      <c r="G44" s="171" t="str">
        <f xml:space="preserve"> Calc!G$169</f>
        <v>£m</v>
      </c>
      <c r="H44" s="171"/>
      <c r="I44" s="171"/>
      <c r="J44" s="171"/>
      <c r="K44" s="171"/>
      <c r="L44" s="171"/>
      <c r="M44" s="171"/>
      <c r="N44" s="171"/>
      <c r="O44" s="171"/>
      <c r="P44" s="171"/>
      <c r="Q44" s="171"/>
      <c r="R44" s="171"/>
      <c r="S44" s="171"/>
      <c r="T44" s="171"/>
      <c r="U44" s="171"/>
      <c r="V44" s="171"/>
    </row>
    <row r="45" spans="1:22">
      <c r="A45" s="356"/>
      <c r="E45" s="171"/>
      <c r="F45" s="171"/>
      <c r="G45" s="171"/>
      <c r="H45" s="171"/>
      <c r="I45" s="171"/>
      <c r="J45" s="171"/>
      <c r="K45" s="171"/>
      <c r="L45" s="171"/>
      <c r="M45" s="171"/>
      <c r="N45" s="171"/>
      <c r="O45" s="171"/>
      <c r="P45" s="171"/>
      <c r="Q45" s="171"/>
      <c r="R45" s="171"/>
      <c r="S45" s="171"/>
      <c r="T45" s="171"/>
      <c r="U45" s="171"/>
      <c r="V45" s="171"/>
    </row>
    <row r="46" spans="1:22">
      <c r="A46" s="356"/>
      <c r="B46" s="10" t="s">
        <v>894</v>
      </c>
      <c r="C46"/>
      <c r="E46" s="171"/>
      <c r="F46" s="171"/>
      <c r="G46" s="171"/>
      <c r="H46" s="171"/>
      <c r="I46" s="171"/>
      <c r="J46" s="171"/>
      <c r="K46" s="171"/>
      <c r="L46" s="171"/>
      <c r="M46" s="171"/>
      <c r="N46" s="171"/>
      <c r="O46" s="171"/>
      <c r="P46" s="171"/>
      <c r="Q46" s="171"/>
      <c r="R46" s="171"/>
      <c r="S46" s="171"/>
      <c r="T46" s="171"/>
      <c r="U46" s="171"/>
      <c r="V46" s="171"/>
    </row>
    <row r="47" spans="1:22">
      <c r="A47" s="352" t="str">
        <f xml:space="preserve"> Calc!A$171 &amp; "_PR19PD011"</f>
        <v>C_WWS15021_DMMY_PR19PD011</v>
      </c>
      <c r="E47" s="285" t="str">
        <f xml:space="preserve"> Calc!E$171</f>
        <v>Dummy: revenue adjustment from totex menu model at 2017-18 FYA CPIH deflated price base</v>
      </c>
      <c r="F47" s="285">
        <f xml:space="preserve"> Calc!F$171</f>
        <v>0</v>
      </c>
      <c r="G47" s="285" t="str">
        <f xml:space="preserve"> Calc!G$171</f>
        <v>£m</v>
      </c>
      <c r="H47" s="171"/>
      <c r="I47" s="171"/>
      <c r="J47" s="171"/>
      <c r="K47" s="171"/>
      <c r="L47" s="171"/>
      <c r="M47" s="171"/>
      <c r="N47" s="171"/>
      <c r="O47" s="171"/>
      <c r="P47" s="171"/>
      <c r="Q47" s="171"/>
      <c r="R47" s="171"/>
      <c r="S47" s="171"/>
      <c r="T47" s="171"/>
      <c r="U47" s="171"/>
      <c r="V47" s="171"/>
    </row>
    <row r="48" spans="1:22">
      <c r="A48" s="356"/>
      <c r="E48" s="171"/>
      <c r="F48" s="171"/>
      <c r="G48" s="171"/>
      <c r="H48" s="171"/>
      <c r="I48" s="171"/>
      <c r="J48" s="171"/>
      <c r="K48" s="171"/>
      <c r="L48" s="171"/>
      <c r="M48" s="171"/>
      <c r="N48" s="171"/>
      <c r="O48" s="171"/>
      <c r="P48" s="171"/>
      <c r="Q48" s="171"/>
      <c r="R48" s="171"/>
      <c r="S48" s="171"/>
      <c r="T48" s="171"/>
      <c r="U48" s="171"/>
      <c r="V48" s="171"/>
    </row>
    <row r="49" spans="1:22">
      <c r="A49" s="356"/>
      <c r="B49" s="10" t="s">
        <v>895</v>
      </c>
      <c r="C49"/>
      <c r="E49" s="171"/>
      <c r="F49" s="171"/>
      <c r="G49" s="171"/>
      <c r="H49" s="171"/>
      <c r="I49" s="171"/>
      <c r="J49" s="171"/>
      <c r="K49" s="171"/>
      <c r="L49" s="171"/>
      <c r="M49" s="171"/>
      <c r="N49" s="171"/>
      <c r="O49" s="171"/>
      <c r="P49" s="171"/>
      <c r="Q49" s="171"/>
      <c r="R49" s="171"/>
      <c r="S49" s="171"/>
      <c r="T49" s="171"/>
      <c r="U49" s="171"/>
      <c r="V49" s="171"/>
    </row>
    <row r="50" spans="1:22">
      <c r="A50" s="352" t="str">
        <f xml:space="preserve"> Calc!A$172 &amp; "_PR19PD011"</f>
        <v>C_WWS13027_DMMY_PR19PD011</v>
      </c>
      <c r="E50" s="311" t="str">
        <f>Calc!E$172</f>
        <v>WRFIM total reward / (penalty) at the end of AMP6 ~ Dummy at 2017-18 FYA CPIH deflated price base</v>
      </c>
      <c r="F50" s="311">
        <f>Calc!F$172</f>
        <v>0</v>
      </c>
      <c r="G50" s="311" t="str">
        <f>Calc!G$172</f>
        <v>£m</v>
      </c>
      <c r="H50" s="171"/>
      <c r="I50" s="171"/>
      <c r="J50" s="171"/>
      <c r="K50" s="171"/>
      <c r="L50" s="171"/>
      <c r="M50" s="171"/>
      <c r="N50" s="171"/>
      <c r="O50" s="171"/>
      <c r="P50" s="171"/>
      <c r="Q50" s="171"/>
      <c r="R50" s="171"/>
      <c r="S50" s="171"/>
      <c r="T50" s="171"/>
      <c r="U50" s="171"/>
      <c r="V50" s="171"/>
    </row>
    <row r="51" spans="1:22">
      <c r="A51" s="356"/>
      <c r="E51" s="171"/>
      <c r="F51" s="171"/>
      <c r="G51" s="171"/>
      <c r="H51" s="171"/>
      <c r="I51" s="171"/>
      <c r="J51" s="171"/>
      <c r="K51" s="171"/>
      <c r="L51" s="171"/>
      <c r="M51" s="171"/>
      <c r="N51" s="171"/>
      <c r="O51" s="171"/>
      <c r="P51" s="171"/>
      <c r="Q51" s="171"/>
      <c r="R51" s="171"/>
      <c r="S51" s="171"/>
      <c r="T51" s="171"/>
      <c r="U51" s="171"/>
      <c r="V51" s="171"/>
    </row>
    <row r="52" spans="1:22">
      <c r="A52" s="356"/>
      <c r="B52" s="10" t="s">
        <v>896</v>
      </c>
      <c r="E52" s="171"/>
      <c r="F52" s="171"/>
      <c r="G52" s="171"/>
      <c r="H52" s="171"/>
      <c r="I52" s="171"/>
      <c r="J52" s="171"/>
      <c r="K52" s="171"/>
      <c r="L52" s="171"/>
      <c r="M52" s="171"/>
      <c r="N52" s="171"/>
      <c r="O52" s="171"/>
      <c r="P52" s="171"/>
      <c r="Q52" s="171"/>
      <c r="R52" s="171"/>
      <c r="S52" s="171"/>
      <c r="T52" s="171"/>
      <c r="U52" s="171"/>
      <c r="V52" s="171"/>
    </row>
    <row r="53" spans="1:22">
      <c r="A53" s="352" t="str">
        <f xml:space="preserve"> Calc!A$175 &amp; "_PR19PD011"</f>
        <v>C_R9046_PR19PD011</v>
      </c>
      <c r="E53" s="171" t="str">
        <f xml:space="preserve"> Calc!E$175</f>
        <v>Residential retail revenue adjustment at 2017-18 FYA CPIH deflated price base</v>
      </c>
      <c r="F53" s="378">
        <f xml:space="preserve"> Calc!F$175</f>
        <v>1.2824466300701431</v>
      </c>
      <c r="G53" s="171" t="str">
        <f xml:space="preserve"> Calc!G$175</f>
        <v>£m</v>
      </c>
      <c r="H53" s="171"/>
      <c r="I53" s="171"/>
      <c r="J53" s="171"/>
      <c r="K53" s="171"/>
      <c r="L53" s="171"/>
      <c r="M53" s="171"/>
      <c r="N53" s="171"/>
      <c r="O53" s="171"/>
      <c r="P53" s="171"/>
      <c r="Q53" s="171"/>
      <c r="R53" s="171"/>
      <c r="S53" s="171"/>
      <c r="T53" s="171"/>
      <c r="U53" s="171"/>
      <c r="V53" s="171"/>
    </row>
    <row r="54" spans="1:22">
      <c r="A54" s="356"/>
      <c r="E54" s="171"/>
      <c r="F54" s="171"/>
      <c r="G54" s="171"/>
      <c r="H54" s="171"/>
      <c r="I54" s="171"/>
      <c r="J54" s="171"/>
      <c r="K54" s="171"/>
      <c r="L54" s="171"/>
      <c r="M54" s="171"/>
      <c r="N54" s="171"/>
      <c r="O54" s="171"/>
      <c r="P54" s="171"/>
      <c r="Q54" s="171"/>
      <c r="R54" s="171"/>
      <c r="S54" s="171"/>
      <c r="T54" s="171"/>
      <c r="U54" s="171"/>
      <c r="V54" s="171"/>
    </row>
    <row r="55" spans="1:22">
      <c r="A55" s="356"/>
      <c r="B55" s="10" t="s">
        <v>897</v>
      </c>
      <c r="E55" s="171"/>
      <c r="F55" s="171"/>
      <c r="G55" s="171"/>
      <c r="H55" s="171"/>
      <c r="I55" s="171"/>
      <c r="J55" s="171"/>
      <c r="K55" s="171"/>
      <c r="L55" s="171"/>
      <c r="M55" s="171"/>
      <c r="N55" s="171"/>
      <c r="O55" s="171"/>
      <c r="P55" s="171"/>
      <c r="Q55" s="171"/>
      <c r="R55" s="171"/>
      <c r="S55" s="171"/>
      <c r="T55" s="171"/>
      <c r="U55" s="171"/>
      <c r="V55" s="171"/>
    </row>
    <row r="56" spans="1:22">
      <c r="A56" s="352" t="str">
        <f xml:space="preserve"> Calc!A$176 &amp; "_PR19PD011"</f>
        <v>C_R10009_PR19PD011</v>
      </c>
      <c r="E56" s="171" t="str">
        <f xml:space="preserve"> Calc!E$176</f>
        <v>SIM forecast revenue adjustment at 2017-18 FYA CPIH deflated price base</v>
      </c>
      <c r="F56" s="378">
        <f xml:space="preserve"> Calc!F$176</f>
        <v>-12.482017751848689</v>
      </c>
      <c r="G56" s="171" t="str">
        <f xml:space="preserve"> Calc!G$176</f>
        <v>£m</v>
      </c>
      <c r="H56" s="171"/>
      <c r="I56" s="171"/>
      <c r="J56" s="171"/>
      <c r="K56" s="171"/>
      <c r="L56" s="171"/>
      <c r="M56" s="171"/>
      <c r="N56" s="171"/>
      <c r="O56" s="171"/>
      <c r="P56" s="171"/>
      <c r="Q56" s="171"/>
      <c r="R56" s="171"/>
      <c r="S56" s="171"/>
      <c r="T56" s="171"/>
      <c r="U56" s="171"/>
      <c r="V56" s="171"/>
    </row>
    <row r="57" spans="1:22">
      <c r="E57" s="273"/>
      <c r="F57" s="163"/>
    </row>
    <row r="59" spans="1:22" ht="12.75" customHeight="1" collapsed="1">
      <c r="A59" s="39" t="s">
        <v>898</v>
      </c>
      <c r="B59" s="39"/>
      <c r="C59" s="40"/>
      <c r="D59" s="39"/>
      <c r="E59" s="39"/>
      <c r="F59" s="39"/>
      <c r="G59" s="39"/>
      <c r="H59" s="39"/>
      <c r="I59" s="39"/>
      <c r="J59" s="39"/>
      <c r="K59" s="39"/>
      <c r="L59" s="39"/>
      <c r="M59" s="39"/>
      <c r="N59" s="39"/>
      <c r="O59" s="39"/>
      <c r="P59" s="39"/>
      <c r="Q59" s="39"/>
      <c r="R59" s="39"/>
      <c r="S59" s="39"/>
      <c r="T59" s="39"/>
      <c r="U59" s="39"/>
      <c r="V59" s="39"/>
    </row>
    <row r="60" spans="1:22">
      <c r="A60" s="356"/>
    </row>
    <row r="61" spans="1:22">
      <c r="A61" s="352" t="str">
        <f xml:space="preserve"> Calc!A$188 &amp; "_PR19PD011"</f>
        <v>C048_PR19PD011</v>
      </c>
      <c r="E61" s="352" t="str">
        <f xml:space="preserve"> Calc!E$188</f>
        <v>Water resources revenue adjustment</v>
      </c>
      <c r="F61" s="382">
        <f xml:space="preserve"> Calc!F$188</f>
        <v>1.4552389089808715</v>
      </c>
      <c r="G61" s="171" t="str">
        <f xml:space="preserve"> Calc!G$188</f>
        <v>£m</v>
      </c>
      <c r="H61" s="171"/>
      <c r="I61" s="171"/>
      <c r="J61" s="171"/>
      <c r="K61" s="171"/>
      <c r="L61" s="171"/>
      <c r="M61" s="171"/>
      <c r="N61" s="171"/>
      <c r="O61" s="171"/>
      <c r="P61" s="171"/>
      <c r="Q61" s="171"/>
      <c r="R61" s="171"/>
      <c r="S61" s="171"/>
      <c r="T61" s="171"/>
      <c r="U61" s="171"/>
      <c r="V61" s="171"/>
    </row>
    <row r="62" spans="1:22">
      <c r="A62" s="352" t="str">
        <f xml:space="preserve"> Calc!A$198 &amp; "_PR19PD011"</f>
        <v>C058_PR19PD011</v>
      </c>
      <c r="E62" s="171" t="str">
        <f xml:space="preserve"> Calc!E$198</f>
        <v>Water network plus revenue adjustment</v>
      </c>
      <c r="F62" s="378">
        <f xml:space="preserve"> Calc!F$198</f>
        <v>-3.9561422547435328</v>
      </c>
      <c r="G62" s="171" t="str">
        <f xml:space="preserve"> Calc!G$198</f>
        <v>£m</v>
      </c>
      <c r="H62" s="171"/>
      <c r="I62" s="171"/>
      <c r="J62" s="171"/>
      <c r="K62" s="171"/>
      <c r="L62" s="171"/>
      <c r="M62" s="171"/>
      <c r="N62" s="171"/>
      <c r="O62" s="171"/>
      <c r="P62" s="171"/>
      <c r="Q62" s="171"/>
      <c r="R62" s="171"/>
      <c r="S62" s="171"/>
      <c r="T62" s="171"/>
      <c r="U62" s="171"/>
      <c r="V62" s="171"/>
    </row>
    <row r="63" spans="1:22">
      <c r="A63" s="352" t="str">
        <f xml:space="preserve"> Calc!A$203 &amp; "_PR19PD011"</f>
        <v>C068_PR19PD011</v>
      </c>
      <c r="E63" s="171" t="str">
        <f>Calc!E203</f>
        <v>Bioresources revenue adjustment</v>
      </c>
      <c r="F63" s="378">
        <f>Calc!F203</f>
        <v>0</v>
      </c>
      <c r="G63" s="171" t="str">
        <f>Calc!G203</f>
        <v>£m</v>
      </c>
      <c r="H63" s="171"/>
      <c r="I63" s="171"/>
      <c r="J63" s="171"/>
      <c r="K63" s="171"/>
      <c r="L63" s="171"/>
      <c r="M63" s="171"/>
      <c r="N63" s="171"/>
      <c r="O63" s="171"/>
      <c r="P63" s="171"/>
      <c r="Q63" s="171"/>
      <c r="R63" s="171"/>
      <c r="S63" s="171"/>
      <c r="T63" s="171"/>
      <c r="U63" s="171"/>
      <c r="V63" s="171"/>
    </row>
    <row r="64" spans="1:22">
      <c r="A64" s="352" t="str">
        <f xml:space="preserve"> Calc!A$211 &amp; "_PR19PD011"</f>
        <v>C078_PR19PD011</v>
      </c>
      <c r="E64" s="171" t="str">
        <f xml:space="preserve"> Calc!E$211</f>
        <v>Wastewater network plus revenue adjustment</v>
      </c>
      <c r="F64" s="378">
        <f xml:space="preserve"> Calc!F$211</f>
        <v>0</v>
      </c>
      <c r="G64" s="171" t="str">
        <f xml:space="preserve"> Calc!G$211</f>
        <v>£m</v>
      </c>
      <c r="H64" s="171"/>
      <c r="I64" s="171"/>
      <c r="J64" s="171"/>
      <c r="K64" s="171"/>
      <c r="L64" s="171"/>
      <c r="M64" s="171"/>
      <c r="N64" s="171"/>
      <c r="O64" s="171"/>
      <c r="P64" s="171"/>
      <c r="Q64" s="171"/>
      <c r="R64" s="171"/>
      <c r="S64" s="171"/>
      <c r="T64" s="171"/>
      <c r="U64" s="171"/>
      <c r="V64" s="171"/>
    </row>
    <row r="65" spans="1:22">
      <c r="A65" s="352" t="str">
        <f xml:space="preserve"> Calc!A$216 &amp; "_PR19PD011"</f>
        <v>C088_PR19PD011</v>
      </c>
      <c r="E65" s="285" t="str">
        <f xml:space="preserve"> Calc!E$216</f>
        <v>Dummy control revenue adjustment</v>
      </c>
      <c r="F65" s="407">
        <f xml:space="preserve"> Calc!F$216</f>
        <v>0</v>
      </c>
      <c r="G65" s="285" t="str">
        <f xml:space="preserve"> Calc!G$216</f>
        <v>£m</v>
      </c>
      <c r="H65" s="171"/>
      <c r="I65" s="171"/>
      <c r="J65" s="171"/>
      <c r="K65" s="171"/>
      <c r="L65" s="171"/>
      <c r="M65" s="171"/>
      <c r="N65" s="171"/>
      <c r="O65" s="171"/>
      <c r="P65" s="171"/>
      <c r="Q65" s="171"/>
      <c r="R65" s="171"/>
      <c r="S65" s="171"/>
      <c r="T65" s="171"/>
      <c r="U65" s="171"/>
      <c r="V65" s="171"/>
    </row>
    <row r="66" spans="1:22">
      <c r="A66" s="352" t="str">
        <f xml:space="preserve"> Calc!A$223 &amp; "_PR19PD011"</f>
        <v>C098_PR19PD011</v>
      </c>
      <c r="E66" s="171" t="str">
        <f xml:space="preserve"> Calc!E$223</f>
        <v>Residential retail revenue adjustment</v>
      </c>
      <c r="F66" s="378">
        <f xml:space="preserve"> Calc!F$223</f>
        <v>-11.199571121778545</v>
      </c>
      <c r="G66" s="171" t="str">
        <f xml:space="preserve"> Calc!G$223</f>
        <v>£m</v>
      </c>
      <c r="H66" s="171"/>
      <c r="I66" s="171"/>
      <c r="J66" s="171"/>
      <c r="K66" s="171"/>
      <c r="L66" s="171"/>
      <c r="M66" s="171"/>
      <c r="N66" s="171"/>
      <c r="O66" s="171"/>
      <c r="P66" s="171"/>
      <c r="Q66" s="171"/>
      <c r="R66" s="171"/>
      <c r="S66" s="171"/>
      <c r="T66" s="171"/>
      <c r="U66" s="171"/>
      <c r="V66" s="171"/>
    </row>
    <row r="67" spans="1:22">
      <c r="A67" s="352" t="str">
        <f xml:space="preserve"> Calc!A$228 &amp; "_PR19PD011"</f>
        <v>C108_PR19PD011</v>
      </c>
      <c r="E67" s="171" t="str">
        <f xml:space="preserve"> Calc!E$228</f>
        <v>Business retail revenue adjustment</v>
      </c>
      <c r="F67" s="171">
        <f xml:space="preserve"> Calc!F$228</f>
        <v>0</v>
      </c>
      <c r="G67" s="171" t="str">
        <f xml:space="preserve"> Calc!G$228</f>
        <v>£m</v>
      </c>
      <c r="H67" s="171"/>
      <c r="I67" s="171"/>
      <c r="J67" s="171"/>
      <c r="K67" s="171"/>
      <c r="L67" s="171"/>
      <c r="M67" s="171"/>
      <c r="N67" s="171"/>
      <c r="O67" s="171"/>
      <c r="P67" s="171"/>
      <c r="Q67" s="171"/>
      <c r="R67" s="171"/>
      <c r="S67" s="171"/>
      <c r="T67" s="171"/>
      <c r="U67" s="171"/>
      <c r="V67" s="171"/>
    </row>
    <row r="68" spans="1:22">
      <c r="E68" s="273"/>
      <c r="F68" s="163"/>
    </row>
    <row r="70" spans="1:22" ht="12.75" customHeight="1" collapsed="1">
      <c r="A70" s="39" t="s">
        <v>899</v>
      </c>
      <c r="B70" s="39"/>
      <c r="C70" s="40"/>
      <c r="D70" s="39"/>
      <c r="E70" s="39"/>
      <c r="F70" s="39"/>
      <c r="G70" s="39"/>
      <c r="H70" s="39"/>
      <c r="I70" s="39"/>
      <c r="J70" s="39"/>
      <c r="K70" s="39"/>
      <c r="L70" s="39"/>
      <c r="M70" s="39"/>
      <c r="N70" s="39"/>
      <c r="O70" s="39"/>
      <c r="P70" s="39"/>
      <c r="Q70" s="39"/>
      <c r="R70" s="39"/>
      <c r="S70" s="39"/>
      <c r="T70" s="39"/>
      <c r="U70" s="39"/>
      <c r="V70" s="39"/>
    </row>
    <row r="72" spans="1:22">
      <c r="A72" s="352" t="str">
        <f xml:space="preserve"> Profiling!A$241 &amp; "_PR19PD011"</f>
        <v>C049_PR19PD011</v>
      </c>
      <c r="E72" s="171" t="str">
        <f xml:space="preserve"> Profiling!E$241</f>
        <v>Water resources revenue adjustment active</v>
      </c>
      <c r="F72" s="171">
        <f xml:space="preserve"> Profiling!F$241</f>
        <v>0</v>
      </c>
      <c r="G72" s="171" t="str">
        <f xml:space="preserve"> Profiling!G$241</f>
        <v>£m</v>
      </c>
      <c r="H72" s="171">
        <f xml:space="preserve"> Profiling!H$241</f>
        <v>1.5480488229920566</v>
      </c>
      <c r="I72" s="171">
        <f xml:space="preserve"> Profiling!I$241</f>
        <v>0</v>
      </c>
      <c r="J72" s="171">
        <f xml:space="preserve"> Profiling!J$241</f>
        <v>0</v>
      </c>
      <c r="K72" s="171">
        <f xml:space="preserve"> Profiling!K$241</f>
        <v>0</v>
      </c>
      <c r="L72" s="171">
        <f xml:space="preserve"> Profiling!L$241</f>
        <v>0</v>
      </c>
      <c r="M72" s="171">
        <f xml:space="preserve"> Profiling!M$241</f>
        <v>0</v>
      </c>
      <c r="N72" s="171">
        <f xml:space="preserve"> Profiling!N$241</f>
        <v>0</v>
      </c>
      <c r="O72" s="171">
        <f xml:space="preserve"> Profiling!O$241</f>
        <v>0</v>
      </c>
      <c r="P72" s="171">
        <f xml:space="preserve"> Profiling!P$241</f>
        <v>0</v>
      </c>
      <c r="Q72" s="171">
        <f xml:space="preserve"> Profiling!Q$241</f>
        <v>0</v>
      </c>
      <c r="R72" s="352">
        <f xml:space="preserve"> Profiling!R$241</f>
        <v>0.2910477817961743</v>
      </c>
      <c r="S72" s="171">
        <f xml:space="preserve"> Profiling!S$241</f>
        <v>0.30004115825367605</v>
      </c>
      <c r="T72" s="171">
        <f xml:space="preserve"> Profiling!T$241</f>
        <v>0.30931243004371467</v>
      </c>
      <c r="U72" s="171">
        <f xml:space="preserve"> Profiling!U$241</f>
        <v>0.31889677133216382</v>
      </c>
      <c r="V72" s="352">
        <f xml:space="preserve"> Profiling!V$241</f>
        <v>0.3287506815663277</v>
      </c>
    </row>
    <row r="73" spans="1:22">
      <c r="A73" s="352" t="str">
        <f xml:space="preserve"> Profiling!A$242 &amp; "_PR19PD011"</f>
        <v>C059_PR19PD011</v>
      </c>
      <c r="E73" s="171" t="str">
        <f xml:space="preserve"> Profiling!E$242</f>
        <v>Water network revenue adjustment active</v>
      </c>
      <c r="F73" s="171">
        <f xml:space="preserve"> Profiling!F$242</f>
        <v>0</v>
      </c>
      <c r="G73" s="171" t="str">
        <f xml:space="preserve"> Profiling!G$242</f>
        <v>£m</v>
      </c>
      <c r="H73" s="171">
        <f xml:space="preserve"> Profiling!H$242</f>
        <v>-4.2084508071144269</v>
      </c>
      <c r="I73" s="171">
        <f xml:space="preserve"> Profiling!I$242</f>
        <v>0</v>
      </c>
      <c r="J73" s="171">
        <f xml:space="preserve"> Profiling!J$242</f>
        <v>0</v>
      </c>
      <c r="K73" s="171">
        <f xml:space="preserve"> Profiling!K$242</f>
        <v>0</v>
      </c>
      <c r="L73" s="171">
        <f xml:space="preserve"> Profiling!L$242</f>
        <v>0</v>
      </c>
      <c r="M73" s="171">
        <f xml:space="preserve"> Profiling!M$242</f>
        <v>0</v>
      </c>
      <c r="N73" s="171">
        <f xml:space="preserve"> Profiling!N$242</f>
        <v>0</v>
      </c>
      <c r="O73" s="171">
        <f xml:space="preserve"> Profiling!O$242</f>
        <v>0</v>
      </c>
      <c r="P73" s="171">
        <f xml:space="preserve"> Profiling!P$242</f>
        <v>0</v>
      </c>
      <c r="Q73" s="171">
        <f xml:space="preserve"> Profiling!Q$242</f>
        <v>0</v>
      </c>
      <c r="R73" s="171">
        <f xml:space="preserve"> Profiling!R$242</f>
        <v>-0.79122845094870653</v>
      </c>
      <c r="S73" s="171">
        <f xml:space="preserve"> Profiling!S$242</f>
        <v>-0.81567741008302153</v>
      </c>
      <c r="T73" s="171">
        <f xml:space="preserve"> Profiling!T$242</f>
        <v>-0.84088184205458683</v>
      </c>
      <c r="U73" s="171">
        <f xml:space="preserve"> Profiling!U$242</f>
        <v>-0.86693736965291823</v>
      </c>
      <c r="V73" s="171">
        <f xml:space="preserve"> Profiling!V$242</f>
        <v>-0.89372573437519354</v>
      </c>
    </row>
    <row r="74" spans="1:22">
      <c r="A74" s="352" t="str">
        <f xml:space="preserve"> Profiling!A$243 &amp; "_PR19PD011"</f>
        <v>C069_PR19PD011</v>
      </c>
      <c r="E74" s="171" t="str">
        <f xml:space="preserve"> Profiling!E$243</f>
        <v>Bioresources revenue adjustment active</v>
      </c>
      <c r="F74" s="171">
        <f xml:space="preserve"> Profiling!F$243</f>
        <v>0</v>
      </c>
      <c r="G74" s="171" t="str">
        <f xml:space="preserve"> Profiling!G$243</f>
        <v>£m</v>
      </c>
      <c r="H74" s="171">
        <f xml:space="preserve"> Profiling!H$243</f>
        <v>0</v>
      </c>
      <c r="I74" s="171">
        <f xml:space="preserve"> Profiling!I$243</f>
        <v>0</v>
      </c>
      <c r="J74" s="171">
        <f xml:space="preserve"> Profiling!J$243</f>
        <v>0</v>
      </c>
      <c r="K74" s="171">
        <f xml:space="preserve"> Profiling!K$243</f>
        <v>0</v>
      </c>
      <c r="L74" s="171">
        <f xml:space="preserve"> Profiling!L$243</f>
        <v>0</v>
      </c>
      <c r="M74" s="171">
        <f xml:space="preserve"> Profiling!M$243</f>
        <v>0</v>
      </c>
      <c r="N74" s="171">
        <f xml:space="preserve"> Profiling!N$243</f>
        <v>0</v>
      </c>
      <c r="O74" s="171">
        <f xml:space="preserve"> Profiling!O$243</f>
        <v>0</v>
      </c>
      <c r="P74" s="171">
        <f xml:space="preserve"> Profiling!P$243</f>
        <v>0</v>
      </c>
      <c r="Q74" s="171">
        <f xml:space="preserve"> Profiling!Q$243</f>
        <v>0</v>
      </c>
      <c r="R74" s="171">
        <f xml:space="preserve"> Profiling!R$243</f>
        <v>0</v>
      </c>
      <c r="S74" s="171">
        <f xml:space="preserve"> Profiling!S$243</f>
        <v>0</v>
      </c>
      <c r="T74" s="171">
        <f xml:space="preserve"> Profiling!T$243</f>
        <v>0</v>
      </c>
      <c r="U74" s="171">
        <f xml:space="preserve"> Profiling!U$243</f>
        <v>0</v>
      </c>
      <c r="V74" s="171">
        <f xml:space="preserve"> Profiling!V$243</f>
        <v>0</v>
      </c>
    </row>
    <row r="75" spans="1:22">
      <c r="A75" s="352" t="str">
        <f xml:space="preserve"> Profiling!A$244 &amp; "_PR19PD011"</f>
        <v>C079_PR19PD011</v>
      </c>
      <c r="E75" s="171" t="str">
        <f xml:space="preserve"> Profiling!E$244</f>
        <v>Wastewater network revenue adjustment active</v>
      </c>
      <c r="F75" s="171">
        <f xml:space="preserve"> Profiling!F$244</f>
        <v>0</v>
      </c>
      <c r="G75" s="171" t="str">
        <f xml:space="preserve"> Profiling!G$244</f>
        <v>£m</v>
      </c>
      <c r="H75" s="171">
        <f xml:space="preserve"> Profiling!H$244</f>
        <v>0</v>
      </c>
      <c r="I75" s="171">
        <f xml:space="preserve"> Profiling!I$244</f>
        <v>0</v>
      </c>
      <c r="J75" s="171">
        <f xml:space="preserve"> Profiling!J$244</f>
        <v>0</v>
      </c>
      <c r="K75" s="171">
        <f xml:space="preserve"> Profiling!K$244</f>
        <v>0</v>
      </c>
      <c r="L75" s="171">
        <f xml:space="preserve"> Profiling!L$244</f>
        <v>0</v>
      </c>
      <c r="M75" s="171">
        <f xml:space="preserve"> Profiling!M$244</f>
        <v>0</v>
      </c>
      <c r="N75" s="171">
        <f xml:space="preserve"> Profiling!N$244</f>
        <v>0</v>
      </c>
      <c r="O75" s="171">
        <f xml:space="preserve"> Profiling!O$244</f>
        <v>0</v>
      </c>
      <c r="P75" s="171">
        <f xml:space="preserve"> Profiling!P$244</f>
        <v>0</v>
      </c>
      <c r="Q75" s="171">
        <f xml:space="preserve"> Profiling!Q$244</f>
        <v>0</v>
      </c>
      <c r="R75" s="171">
        <f xml:space="preserve"> Profiling!R$244</f>
        <v>0</v>
      </c>
      <c r="S75" s="171">
        <f xml:space="preserve"> Profiling!S$244</f>
        <v>0</v>
      </c>
      <c r="T75" s="171">
        <f xml:space="preserve"> Profiling!T$244</f>
        <v>0</v>
      </c>
      <c r="U75" s="171">
        <f xml:space="preserve"> Profiling!U$244</f>
        <v>0</v>
      </c>
      <c r="V75" s="171">
        <f xml:space="preserve"> Profiling!V$244</f>
        <v>0</v>
      </c>
    </row>
    <row r="76" spans="1:22">
      <c r="A76" s="352" t="str">
        <f xml:space="preserve"> Profiling!A$245 &amp; "_PR19PD011"</f>
        <v>C089_PR19PD011</v>
      </c>
      <c r="E76" s="301" t="str">
        <f xml:space="preserve"> Profiling!E$245</f>
        <v>Dummy control revenue adjustment active</v>
      </c>
      <c r="F76" s="301">
        <f xml:space="preserve"> Profiling!F$245</f>
        <v>0</v>
      </c>
      <c r="G76" s="301" t="str">
        <f xml:space="preserve"> Profiling!G$245</f>
        <v>£m</v>
      </c>
      <c r="H76" s="301">
        <f xml:space="preserve"> Profiling!H$245</f>
        <v>0</v>
      </c>
      <c r="I76" s="301">
        <f xml:space="preserve"> Profiling!I$245</f>
        <v>0</v>
      </c>
      <c r="J76" s="301">
        <f xml:space="preserve"> Profiling!J$245</f>
        <v>0</v>
      </c>
      <c r="K76" s="301">
        <f xml:space="preserve"> Profiling!K$245</f>
        <v>0</v>
      </c>
      <c r="L76" s="301">
        <f xml:space="preserve"> Profiling!L$245</f>
        <v>0</v>
      </c>
      <c r="M76" s="301">
        <f xml:space="preserve"> Profiling!M$245</f>
        <v>0</v>
      </c>
      <c r="N76" s="301">
        <f xml:space="preserve"> Profiling!N$245</f>
        <v>0</v>
      </c>
      <c r="O76" s="301">
        <f xml:space="preserve"> Profiling!O$245</f>
        <v>0</v>
      </c>
      <c r="P76" s="301">
        <f xml:space="preserve"> Profiling!P$245</f>
        <v>0</v>
      </c>
      <c r="Q76" s="301">
        <f xml:space="preserve"> Profiling!Q$245</f>
        <v>0</v>
      </c>
      <c r="R76" s="301">
        <f xml:space="preserve"> Profiling!R$245</f>
        <v>0</v>
      </c>
      <c r="S76" s="301">
        <f xml:space="preserve"> Profiling!S$245</f>
        <v>0</v>
      </c>
      <c r="T76" s="301">
        <f xml:space="preserve"> Profiling!T$245</f>
        <v>0</v>
      </c>
      <c r="U76" s="301">
        <f xml:space="preserve"> Profiling!U$245</f>
        <v>0</v>
      </c>
      <c r="V76" s="301">
        <f xml:space="preserve"> Profiling!V$245</f>
        <v>0</v>
      </c>
    </row>
    <row r="77" spans="1:22">
      <c r="A77" s="352" t="str">
        <f xml:space="preserve"> Profiling!A$246 &amp; "_PR19PD011"</f>
        <v>C099_PR19PD011</v>
      </c>
      <c r="E77" s="171" t="str">
        <f xml:space="preserve"> Profiling!E$246</f>
        <v>Residential retail revenue adjustment active</v>
      </c>
      <c r="F77" s="171">
        <f xml:space="preserve"> Profiling!F$246</f>
        <v>0</v>
      </c>
      <c r="G77" s="171" t="str">
        <f xml:space="preserve"> Profiling!G$246</f>
        <v>£m</v>
      </c>
      <c r="H77" s="171">
        <f xml:space="preserve"> Profiling!H$246</f>
        <v>-11.913839566883787</v>
      </c>
      <c r="I77" s="171">
        <f xml:space="preserve"> Profiling!I$246</f>
        <v>0</v>
      </c>
      <c r="J77" s="171">
        <f xml:space="preserve"> Profiling!J$246</f>
        <v>0</v>
      </c>
      <c r="K77" s="171">
        <f xml:space="preserve"> Profiling!K$246</f>
        <v>0</v>
      </c>
      <c r="L77" s="171">
        <f xml:space="preserve"> Profiling!L$246</f>
        <v>0</v>
      </c>
      <c r="M77" s="171">
        <f xml:space="preserve"> Profiling!M$246</f>
        <v>0</v>
      </c>
      <c r="N77" s="171">
        <f xml:space="preserve"> Profiling!N$246</f>
        <v>0</v>
      </c>
      <c r="O77" s="171">
        <f xml:space="preserve"> Profiling!O$246</f>
        <v>0</v>
      </c>
      <c r="P77" s="171">
        <f xml:space="preserve"> Profiling!P$246</f>
        <v>0</v>
      </c>
      <c r="Q77" s="171">
        <f xml:space="preserve"> Profiling!Q$246</f>
        <v>0</v>
      </c>
      <c r="R77" s="171">
        <f xml:space="preserve"> Profiling!R$246</f>
        <v>-2.2399142243557089</v>
      </c>
      <c r="S77" s="171">
        <f xml:space="preserve"> Profiling!S$246</f>
        <v>-2.3091275738883001</v>
      </c>
      <c r="T77" s="171">
        <f xml:space="preserve"> Profiling!T$246</f>
        <v>-2.3804796159214487</v>
      </c>
      <c r="U77" s="171">
        <f xml:space="preserve"> Profiling!U$246</f>
        <v>-2.4542410521041558</v>
      </c>
      <c r="V77" s="171">
        <f xml:space="preserve"> Profiling!V$246</f>
        <v>-2.5300771006141742</v>
      </c>
    </row>
    <row r="78" spans="1:22">
      <c r="A78" s="352" t="str">
        <f xml:space="preserve"> Profiling!A$247 &amp; "_PR19PD011"</f>
        <v>C109_PR19PD011</v>
      </c>
      <c r="E78" s="171" t="str">
        <f xml:space="preserve"> Profiling!E$247</f>
        <v>Business retail revenue adjustment active</v>
      </c>
      <c r="F78" s="171">
        <f xml:space="preserve"> Profiling!F$247</f>
        <v>0</v>
      </c>
      <c r="G78" s="171" t="str">
        <f xml:space="preserve"> Profiling!G$247</f>
        <v>£m</v>
      </c>
      <c r="H78" s="171">
        <f xml:space="preserve"> Profiling!H$247</f>
        <v>0</v>
      </c>
      <c r="I78" s="171">
        <f xml:space="preserve"> Profiling!I$247</f>
        <v>0</v>
      </c>
      <c r="J78" s="171">
        <f xml:space="preserve"> Profiling!J$247</f>
        <v>0</v>
      </c>
      <c r="K78" s="171">
        <f xml:space="preserve"> Profiling!K$247</f>
        <v>0</v>
      </c>
      <c r="L78" s="171">
        <f xml:space="preserve"> Profiling!L$247</f>
        <v>0</v>
      </c>
      <c r="M78" s="171">
        <f xml:space="preserve"> Profiling!M$247</f>
        <v>0</v>
      </c>
      <c r="N78" s="171">
        <f xml:space="preserve"> Profiling!N$247</f>
        <v>0</v>
      </c>
      <c r="O78" s="171">
        <f xml:space="preserve"> Profiling!O$247</f>
        <v>0</v>
      </c>
      <c r="P78" s="171">
        <f xml:space="preserve"> Profiling!P$247</f>
        <v>0</v>
      </c>
      <c r="Q78" s="171">
        <f xml:space="preserve"> Profiling!Q$247</f>
        <v>0</v>
      </c>
      <c r="R78" s="352">
        <f xml:space="preserve"> Profiling!R$247</f>
        <v>0</v>
      </c>
      <c r="S78" s="171">
        <f xml:space="preserve"> Profiling!S$247</f>
        <v>0</v>
      </c>
      <c r="T78" s="171">
        <f xml:space="preserve"> Profiling!T$247</f>
        <v>0</v>
      </c>
      <c r="U78" s="171">
        <f xml:space="preserve"> Profiling!U$247</f>
        <v>0</v>
      </c>
      <c r="V78" s="171">
        <f xml:space="preserve"> Profiling!V$247</f>
        <v>0</v>
      </c>
    </row>
    <row r="81" spans="1:22" ht="12.75" customHeight="1" collapsed="1">
      <c r="A81" s="39" t="s">
        <v>900</v>
      </c>
      <c r="B81" s="39"/>
      <c r="C81" s="40"/>
      <c r="D81" s="39"/>
      <c r="E81" s="39"/>
      <c r="F81" s="39"/>
      <c r="G81" s="39"/>
      <c r="H81" s="39"/>
      <c r="I81" s="39"/>
      <c r="J81" s="39"/>
      <c r="K81" s="39"/>
      <c r="L81" s="39"/>
      <c r="M81" s="39"/>
      <c r="N81" s="39"/>
      <c r="O81" s="39"/>
      <c r="P81" s="39"/>
      <c r="Q81" s="39"/>
      <c r="R81" s="39"/>
      <c r="S81" s="39"/>
      <c r="T81" s="39"/>
      <c r="U81" s="39"/>
      <c r="V81" s="39"/>
    </row>
    <row r="83" spans="1:22">
      <c r="A83" s="352" t="s">
        <v>382</v>
      </c>
      <c r="E83" s="378" t="str">
        <f>'FM Proportion Calc'!E$23</f>
        <v>ODI in-period revenue adjustment ~ Water resources at 2017-18 FYA CPIH deflated price base</v>
      </c>
      <c r="F83" s="378">
        <f>'FM Proportion Calc'!F$23</f>
        <v>0</v>
      </c>
      <c r="G83" s="378" t="str">
        <f>'FM Proportion Calc'!G$23</f>
        <v>£m</v>
      </c>
      <c r="H83" s="378">
        <f>'FM Proportion Calc'!H$23</f>
        <v>0</v>
      </c>
      <c r="I83" s="378">
        <f>'FM Proportion Calc'!I$23</f>
        <v>0</v>
      </c>
      <c r="J83" s="378">
        <f>'FM Proportion Calc'!J$23</f>
        <v>0</v>
      </c>
      <c r="K83" s="378">
        <f>'FM Proportion Calc'!K$23</f>
        <v>0</v>
      </c>
      <c r="L83" s="378">
        <f>'FM Proportion Calc'!L$23</f>
        <v>0</v>
      </c>
      <c r="M83" s="378">
        <f>'FM Proportion Calc'!M$23</f>
        <v>0</v>
      </c>
      <c r="N83" s="378">
        <f>'FM Proportion Calc'!N$23</f>
        <v>0</v>
      </c>
      <c r="O83" s="378">
        <f>'FM Proportion Calc'!O$23</f>
        <v>0</v>
      </c>
      <c r="P83" s="378">
        <f>'FM Proportion Calc'!P$23</f>
        <v>0</v>
      </c>
      <c r="Q83" s="378">
        <f>'FM Proportion Calc'!Q$23</f>
        <v>0</v>
      </c>
      <c r="R83" s="382">
        <f>'FM Proportion Calc'!R$23</f>
        <v>0</v>
      </c>
      <c r="S83" s="378">
        <f>'FM Proportion Calc'!S$23</f>
        <v>0</v>
      </c>
      <c r="T83" s="378">
        <f>'FM Proportion Calc'!T$23</f>
        <v>0</v>
      </c>
      <c r="U83" s="378">
        <f>'FM Proportion Calc'!U$23</f>
        <v>0</v>
      </c>
      <c r="V83" s="378">
        <f>'FM Proportion Calc'!V$23</f>
        <v>0</v>
      </c>
    </row>
    <row r="84" spans="1:22">
      <c r="A84" s="352" t="s">
        <v>383</v>
      </c>
      <c r="E84" s="378" t="str">
        <f>'FM Proportion Calc'!E$24</f>
        <v>ODI end of period revenue adjustment ~ Water resources at 2017-18 FYA CPIH deflated price base</v>
      </c>
      <c r="F84" s="378">
        <f>'FM Proportion Calc'!F$24</f>
        <v>0</v>
      </c>
      <c r="G84" s="378" t="str">
        <f>'FM Proportion Calc'!G$24</f>
        <v>£m</v>
      </c>
      <c r="H84" s="378">
        <f>'FM Proportion Calc'!H$24</f>
        <v>1.5480488229920566</v>
      </c>
      <c r="I84" s="378">
        <f>'FM Proportion Calc'!I$24</f>
        <v>0</v>
      </c>
      <c r="J84" s="378">
        <f>'FM Proportion Calc'!J$24</f>
        <v>0</v>
      </c>
      <c r="K84" s="378">
        <f>'FM Proportion Calc'!K$24</f>
        <v>0</v>
      </c>
      <c r="L84" s="378">
        <f>'FM Proportion Calc'!L$24</f>
        <v>0</v>
      </c>
      <c r="M84" s="378">
        <f>'FM Proportion Calc'!M$24</f>
        <v>0</v>
      </c>
      <c r="N84" s="378">
        <f>'FM Proportion Calc'!N$24</f>
        <v>0</v>
      </c>
      <c r="O84" s="378">
        <f>'FM Proportion Calc'!O$24</f>
        <v>0</v>
      </c>
      <c r="P84" s="378">
        <f>'FM Proportion Calc'!P$24</f>
        <v>0</v>
      </c>
      <c r="Q84" s="378">
        <f>'FM Proportion Calc'!Q$24</f>
        <v>0</v>
      </c>
      <c r="R84" s="378">
        <f>'FM Proportion Calc'!R$24</f>
        <v>0.2910477817961743</v>
      </c>
      <c r="S84" s="378">
        <f>'FM Proportion Calc'!S$24</f>
        <v>0.30004115825367605</v>
      </c>
      <c r="T84" s="378">
        <f>'FM Proportion Calc'!T$24</f>
        <v>0.30931243004371467</v>
      </c>
      <c r="U84" s="378">
        <f>'FM Proportion Calc'!U$24</f>
        <v>0.31889677133216382</v>
      </c>
      <c r="V84" s="378">
        <f>'FM Proportion Calc'!V$24</f>
        <v>0.3287506815663277</v>
      </c>
    </row>
    <row r="85" spans="1:22">
      <c r="A85" s="352" t="s">
        <v>384</v>
      </c>
      <c r="E85" s="378" t="str">
        <f>'FM Proportion Calc'!E$25</f>
        <v>Water trading total value of incentive ~ Water resources at 2017-18 FYA CPIH deflated price base</v>
      </c>
      <c r="F85" s="378">
        <f>'FM Proportion Calc'!F$25</f>
        <v>0</v>
      </c>
      <c r="G85" s="378" t="str">
        <f>'FM Proportion Calc'!G$25</f>
        <v>£m</v>
      </c>
      <c r="H85" s="378">
        <f>'FM Proportion Calc'!H$25</f>
        <v>0</v>
      </c>
      <c r="I85" s="378">
        <f>'FM Proportion Calc'!I$25</f>
        <v>0</v>
      </c>
      <c r="J85" s="378">
        <f>'FM Proportion Calc'!J$25</f>
        <v>0</v>
      </c>
      <c r="K85" s="378">
        <f>'FM Proportion Calc'!K$25</f>
        <v>0</v>
      </c>
      <c r="L85" s="378">
        <f>'FM Proportion Calc'!L$25</f>
        <v>0</v>
      </c>
      <c r="M85" s="378">
        <f>'FM Proportion Calc'!M$25</f>
        <v>0</v>
      </c>
      <c r="N85" s="378">
        <f>'FM Proportion Calc'!N$25</f>
        <v>0</v>
      </c>
      <c r="O85" s="378">
        <f>'FM Proportion Calc'!O$25</f>
        <v>0</v>
      </c>
      <c r="P85" s="378">
        <f>'FM Proportion Calc'!P$25</f>
        <v>0</v>
      </c>
      <c r="Q85" s="378">
        <f>'FM Proportion Calc'!Q$25</f>
        <v>0</v>
      </c>
      <c r="R85" s="378">
        <f>'FM Proportion Calc'!R$25</f>
        <v>0</v>
      </c>
      <c r="S85" s="378">
        <f>'FM Proportion Calc'!S$25</f>
        <v>0</v>
      </c>
      <c r="T85" s="378">
        <f>'FM Proportion Calc'!T$25</f>
        <v>0</v>
      </c>
      <c r="U85" s="378">
        <f>'FM Proportion Calc'!U$25</f>
        <v>0</v>
      </c>
      <c r="V85" s="378">
        <f>'FM Proportion Calc'!V$25</f>
        <v>0</v>
      </c>
    </row>
    <row r="86" spans="1:22">
      <c r="A86" s="352" t="s">
        <v>386</v>
      </c>
      <c r="E86" s="378" t="str">
        <f>'FM Proportion Calc'!E$53</f>
        <v>ODI in-period revenue adjustment ~ Water network plus at 2017-18 FYA CPIH deflated price base</v>
      </c>
      <c r="F86" s="378">
        <f>'FM Proportion Calc'!F$53</f>
        <v>0</v>
      </c>
      <c r="G86" s="378" t="str">
        <f>'FM Proportion Calc'!G$53</f>
        <v>£m</v>
      </c>
      <c r="H86" s="378">
        <f>'FM Proportion Calc'!H$53</f>
        <v>0</v>
      </c>
      <c r="I86" s="378">
        <f>'FM Proportion Calc'!I$53</f>
        <v>0</v>
      </c>
      <c r="J86" s="378">
        <f>'FM Proportion Calc'!J$53</f>
        <v>0</v>
      </c>
      <c r="K86" s="378">
        <f>'FM Proportion Calc'!K$53</f>
        <v>0</v>
      </c>
      <c r="L86" s="378">
        <f>'FM Proportion Calc'!L$53</f>
        <v>0</v>
      </c>
      <c r="M86" s="378">
        <f>'FM Proportion Calc'!M$53</f>
        <v>0</v>
      </c>
      <c r="N86" s="378">
        <f>'FM Proportion Calc'!N$53</f>
        <v>0</v>
      </c>
      <c r="O86" s="378">
        <f>'FM Proportion Calc'!O$53</f>
        <v>0</v>
      </c>
      <c r="P86" s="378">
        <f>'FM Proportion Calc'!P$53</f>
        <v>0</v>
      </c>
      <c r="Q86" s="378">
        <f>'FM Proportion Calc'!Q$53</f>
        <v>0</v>
      </c>
      <c r="R86" s="378">
        <f>'FM Proportion Calc'!R$53</f>
        <v>0</v>
      </c>
      <c r="S86" s="378">
        <f>'FM Proportion Calc'!S$53</f>
        <v>0</v>
      </c>
      <c r="T86" s="378">
        <f>'FM Proportion Calc'!T$53</f>
        <v>0</v>
      </c>
      <c r="U86" s="378">
        <f>'FM Proportion Calc'!U$53</f>
        <v>0</v>
      </c>
      <c r="V86" s="378">
        <f>'FM Proportion Calc'!V$53</f>
        <v>0</v>
      </c>
    </row>
    <row r="87" spans="1:22">
      <c r="A87" s="352" t="s">
        <v>387</v>
      </c>
      <c r="E87" s="378" t="str">
        <f>'FM Proportion Calc'!E$54</f>
        <v>ODI end of period revenue adjustment ~ Water network plus at 2017-18 FYA CPIH deflated price base</v>
      </c>
      <c r="F87" s="378">
        <f>'FM Proportion Calc'!F$54</f>
        <v>0</v>
      </c>
      <c r="G87" s="378" t="str">
        <f>'FM Proportion Calc'!G$54</f>
        <v>£m</v>
      </c>
      <c r="H87" s="378">
        <f>'FM Proportion Calc'!H$54</f>
        <v>-15.79988802660114</v>
      </c>
      <c r="I87" s="378">
        <f>'FM Proportion Calc'!I$54</f>
        <v>0</v>
      </c>
      <c r="J87" s="378">
        <f>'FM Proportion Calc'!J$54</f>
        <v>0</v>
      </c>
      <c r="K87" s="378">
        <f>'FM Proportion Calc'!K$54</f>
        <v>0</v>
      </c>
      <c r="L87" s="378">
        <f>'FM Proportion Calc'!L$54</f>
        <v>0</v>
      </c>
      <c r="M87" s="378">
        <f>'FM Proportion Calc'!M$54</f>
        <v>0</v>
      </c>
      <c r="N87" s="378">
        <f>'FM Proportion Calc'!N$54</f>
        <v>0</v>
      </c>
      <c r="O87" s="378">
        <f>'FM Proportion Calc'!O$54</f>
        <v>0</v>
      </c>
      <c r="P87" s="378">
        <f>'FM Proportion Calc'!P$54</f>
        <v>0</v>
      </c>
      <c r="Q87" s="378">
        <f>'FM Proportion Calc'!Q$54</f>
        <v>0</v>
      </c>
      <c r="R87" s="378">
        <f>'FM Proportion Calc'!R$54</f>
        <v>-2.9705279927038784</v>
      </c>
      <c r="S87" s="378">
        <f>'FM Proportion Calc'!S$54</f>
        <v>-3.0623173076784282</v>
      </c>
      <c r="T87" s="378">
        <f>'FM Proportion Calc'!T$54</f>
        <v>-3.1569429124856914</v>
      </c>
      <c r="U87" s="378">
        <f>'FM Proportion Calc'!U$54</f>
        <v>-3.2547638060628987</v>
      </c>
      <c r="V87" s="378">
        <f>'FM Proportion Calc'!V$54</f>
        <v>-3.355336007670243</v>
      </c>
    </row>
    <row r="88" spans="1:22">
      <c r="A88" s="352" t="s">
        <v>388</v>
      </c>
      <c r="E88" s="378" t="str">
        <f>'FM Proportion Calc'!E$55</f>
        <v>WRFIM total reward / (penalty) at the end of AMP6 ~ Water network plus at 2017-18 FYA CPIH deflated price base</v>
      </c>
      <c r="F88" s="378">
        <f>'FM Proportion Calc'!F$55</f>
        <v>0</v>
      </c>
      <c r="G88" s="378" t="str">
        <f>'FM Proportion Calc'!G$55</f>
        <v>£m</v>
      </c>
      <c r="H88" s="378">
        <f>'FM Proportion Calc'!H$55</f>
        <v>10.616540856511687</v>
      </c>
      <c r="I88" s="378">
        <f>'FM Proportion Calc'!I$55</f>
        <v>0</v>
      </c>
      <c r="J88" s="378">
        <f>'FM Proportion Calc'!J$55</f>
        <v>0</v>
      </c>
      <c r="K88" s="378">
        <f>'FM Proportion Calc'!K$55</f>
        <v>0</v>
      </c>
      <c r="L88" s="378">
        <f>'FM Proportion Calc'!L$55</f>
        <v>0</v>
      </c>
      <c r="M88" s="378">
        <f>'FM Proportion Calc'!M$55</f>
        <v>0</v>
      </c>
      <c r="N88" s="378">
        <f>'FM Proportion Calc'!N$55</f>
        <v>0</v>
      </c>
      <c r="O88" s="378">
        <f>'FM Proportion Calc'!O$55</f>
        <v>0</v>
      </c>
      <c r="P88" s="378">
        <f>'FM Proportion Calc'!P$55</f>
        <v>0</v>
      </c>
      <c r="Q88" s="378">
        <f>'FM Proportion Calc'!Q$55</f>
        <v>0</v>
      </c>
      <c r="R88" s="378">
        <f>'FM Proportion Calc'!R$55</f>
        <v>1.9960098291112087</v>
      </c>
      <c r="S88" s="378">
        <f>'FM Proportion Calc'!S$55</f>
        <v>2.0576865328307452</v>
      </c>
      <c r="T88" s="378">
        <f>'FM Proportion Calc'!T$55</f>
        <v>2.1212690466952147</v>
      </c>
      <c r="U88" s="378">
        <f>'FM Proportion Calc'!U$55</f>
        <v>2.1869985956347024</v>
      </c>
      <c r="V88" s="378">
        <f>'FM Proportion Calc'!V$55</f>
        <v>2.2545768522398153</v>
      </c>
    </row>
    <row r="89" spans="1:22">
      <c r="A89" s="352" t="s">
        <v>389</v>
      </c>
      <c r="E89" s="378" t="str">
        <f>'FM Proportion Calc'!E$56</f>
        <v>Water: Totex menu revenue adjustment at 2017-18 FYA CPIH deflated price base</v>
      </c>
      <c r="F89" s="378">
        <f>'FM Proportion Calc'!F$56</f>
        <v>0</v>
      </c>
      <c r="G89" s="378" t="str">
        <f>'FM Proportion Calc'!G$56</f>
        <v>£m</v>
      </c>
      <c r="H89" s="378">
        <f>'FM Proportion Calc'!H$56</f>
        <v>-8.8110288739468801E-2</v>
      </c>
      <c r="I89" s="378">
        <f>'FM Proportion Calc'!I$56</f>
        <v>0</v>
      </c>
      <c r="J89" s="378">
        <f>'FM Proportion Calc'!J$56</f>
        <v>0</v>
      </c>
      <c r="K89" s="378">
        <f>'FM Proportion Calc'!K$56</f>
        <v>0</v>
      </c>
      <c r="L89" s="378">
        <f>'FM Proportion Calc'!L$56</f>
        <v>0</v>
      </c>
      <c r="M89" s="378">
        <f>'FM Proportion Calc'!M$56</f>
        <v>0</v>
      </c>
      <c r="N89" s="378">
        <f>'FM Proportion Calc'!N$56</f>
        <v>0</v>
      </c>
      <c r="O89" s="378">
        <f>'FM Proportion Calc'!O$56</f>
        <v>0</v>
      </c>
      <c r="P89" s="378">
        <f>'FM Proportion Calc'!P$56</f>
        <v>0</v>
      </c>
      <c r="Q89" s="378">
        <f>'FM Proportion Calc'!Q$56</f>
        <v>0</v>
      </c>
      <c r="R89" s="378">
        <f>'FM Proportion Calc'!R$56</f>
        <v>-1.6565565446106361E-2</v>
      </c>
      <c r="S89" s="378">
        <f>'FM Proportion Calc'!S$56</f>
        <v>-1.7077441418391046E-2</v>
      </c>
      <c r="T89" s="378">
        <f>'FM Proportion Calc'!T$56</f>
        <v>-1.7605134358219327E-2</v>
      </c>
      <c r="U89" s="378">
        <f>'FM Proportion Calc'!U$56</f>
        <v>-1.8150646273451216E-2</v>
      </c>
      <c r="V89" s="378">
        <f>'FM Proportion Calc'!V$56</f>
        <v>-1.8711501243300864E-2</v>
      </c>
    </row>
    <row r="90" spans="1:22">
      <c r="A90" s="352" t="s">
        <v>390</v>
      </c>
      <c r="E90" s="378" t="str">
        <f>'FM Proportion Calc'!E$57</f>
        <v>Further 2010-15 reconciliation total adjustment revenue carry forward to PR19 ~ Water network plus at 2017-18 FYA CPIH deflated price base</v>
      </c>
      <c r="F90" s="378">
        <f>'FM Proportion Calc'!F$57</f>
        <v>0</v>
      </c>
      <c r="G90" s="378" t="str">
        <f>'FM Proportion Calc'!G$57</f>
        <v>£m</v>
      </c>
      <c r="H90" s="378">
        <f>'FM Proportion Calc'!H$57</f>
        <v>1.0630066517144947</v>
      </c>
      <c r="I90" s="378">
        <f>'FM Proportion Calc'!I$57</f>
        <v>0</v>
      </c>
      <c r="J90" s="378">
        <f>'FM Proportion Calc'!J$57</f>
        <v>0</v>
      </c>
      <c r="K90" s="378">
        <f>'FM Proportion Calc'!K$57</f>
        <v>0</v>
      </c>
      <c r="L90" s="378">
        <f>'FM Proportion Calc'!L$57</f>
        <v>0</v>
      </c>
      <c r="M90" s="378">
        <f>'FM Proportion Calc'!M$57</f>
        <v>0</v>
      </c>
      <c r="N90" s="378">
        <f>'FM Proportion Calc'!N$57</f>
        <v>0</v>
      </c>
      <c r="O90" s="378">
        <f>'FM Proportion Calc'!O$57</f>
        <v>0</v>
      </c>
      <c r="P90" s="378">
        <f>'FM Proportion Calc'!P$57</f>
        <v>0</v>
      </c>
      <c r="Q90" s="378">
        <f>'FM Proportion Calc'!Q$57</f>
        <v>0</v>
      </c>
      <c r="R90" s="378">
        <f>'FM Proportion Calc'!R$57</f>
        <v>0.19985527809006942</v>
      </c>
      <c r="S90" s="378">
        <f>'FM Proportion Calc'!S$57</f>
        <v>0.20603080618305256</v>
      </c>
      <c r="T90" s="378">
        <f>'FM Proportion Calc'!T$57</f>
        <v>0.21239715809410886</v>
      </c>
      <c r="U90" s="378">
        <f>'FM Proportion Calc'!U$57</f>
        <v>0.21897848704872908</v>
      </c>
      <c r="V90" s="378">
        <f>'FM Proportion Calc'!V$57</f>
        <v>0.22574492229853485</v>
      </c>
    </row>
    <row r="91" spans="1:22">
      <c r="A91" s="352" t="s">
        <v>391</v>
      </c>
      <c r="E91" s="378" t="str">
        <f>'FM Proportion Calc'!E$58</f>
        <v>Water trading total value of incentive ~ Water network plus at 2017-18 FYA CPIH deflated price base</v>
      </c>
      <c r="F91" s="378">
        <f>'FM Proportion Calc'!F$58</f>
        <v>0</v>
      </c>
      <c r="G91" s="378" t="str">
        <f>'FM Proportion Calc'!G$58</f>
        <v>£m</v>
      </c>
      <c r="H91" s="378">
        <f>'FM Proportion Calc'!H$58</f>
        <v>0</v>
      </c>
      <c r="I91" s="378">
        <f>'FM Proportion Calc'!I$58</f>
        <v>0</v>
      </c>
      <c r="J91" s="378">
        <f>'FM Proportion Calc'!J$58</f>
        <v>0</v>
      </c>
      <c r="K91" s="378">
        <f>'FM Proportion Calc'!K$58</f>
        <v>0</v>
      </c>
      <c r="L91" s="378">
        <f>'FM Proportion Calc'!L$58</f>
        <v>0</v>
      </c>
      <c r="M91" s="378">
        <f>'FM Proportion Calc'!M$58</f>
        <v>0</v>
      </c>
      <c r="N91" s="378">
        <f>'FM Proportion Calc'!N$58</f>
        <v>0</v>
      </c>
      <c r="O91" s="378">
        <f>'FM Proportion Calc'!O$58</f>
        <v>0</v>
      </c>
      <c r="P91" s="378">
        <f>'FM Proportion Calc'!P$58</f>
        <v>0</v>
      </c>
      <c r="Q91" s="378">
        <f>'FM Proportion Calc'!Q$58</f>
        <v>0</v>
      </c>
      <c r="R91" s="378">
        <f>'FM Proportion Calc'!R$58</f>
        <v>0</v>
      </c>
      <c r="S91" s="378">
        <f>'FM Proportion Calc'!S$58</f>
        <v>0</v>
      </c>
      <c r="T91" s="378">
        <f>'FM Proportion Calc'!T$58</f>
        <v>0</v>
      </c>
      <c r="U91" s="378">
        <f>'FM Proportion Calc'!U$58</f>
        <v>0</v>
      </c>
      <c r="V91" s="378">
        <f>'FM Proportion Calc'!V$58</f>
        <v>0</v>
      </c>
    </row>
    <row r="92" spans="1:22">
      <c r="A92" s="352" t="s">
        <v>393</v>
      </c>
      <c r="E92" s="378" t="str">
        <f>'FM Proportion Calc'!E$81</f>
        <v>ODI in-period revenue adjustment ~ Wastewater network at 2017-18 FYA CPIH deflated price base</v>
      </c>
      <c r="F92" s="378">
        <f>'FM Proportion Calc'!F$81</f>
        <v>0</v>
      </c>
      <c r="G92" s="378" t="str">
        <f>'FM Proportion Calc'!G$81</f>
        <v>£m</v>
      </c>
      <c r="H92" s="378">
        <f>'FM Proportion Calc'!H$81</f>
        <v>0</v>
      </c>
      <c r="I92" s="378">
        <f>'FM Proportion Calc'!I$81</f>
        <v>0</v>
      </c>
      <c r="J92" s="378">
        <f>'FM Proportion Calc'!J$81</f>
        <v>0</v>
      </c>
      <c r="K92" s="378">
        <f>'FM Proportion Calc'!K$81</f>
        <v>0</v>
      </c>
      <c r="L92" s="378">
        <f>'FM Proportion Calc'!L$81</f>
        <v>0</v>
      </c>
      <c r="M92" s="378">
        <f>'FM Proportion Calc'!M$81</f>
        <v>0</v>
      </c>
      <c r="N92" s="378">
        <f>'FM Proportion Calc'!N$81</f>
        <v>0</v>
      </c>
      <c r="O92" s="378">
        <f>'FM Proportion Calc'!O$81</f>
        <v>0</v>
      </c>
      <c r="P92" s="378">
        <f>'FM Proportion Calc'!P$81</f>
        <v>0</v>
      </c>
      <c r="Q92" s="378">
        <f>'FM Proportion Calc'!Q$81</f>
        <v>0</v>
      </c>
      <c r="R92" s="378">
        <f>'FM Proportion Calc'!R$81</f>
        <v>0</v>
      </c>
      <c r="S92" s="378">
        <f>'FM Proportion Calc'!S$81</f>
        <v>0</v>
      </c>
      <c r="T92" s="378">
        <f>'FM Proportion Calc'!T$81</f>
        <v>0</v>
      </c>
      <c r="U92" s="378">
        <f>'FM Proportion Calc'!U$81</f>
        <v>0</v>
      </c>
      <c r="V92" s="378">
        <f>'FM Proportion Calc'!V$81</f>
        <v>0</v>
      </c>
    </row>
    <row r="93" spans="1:22">
      <c r="A93" s="352" t="s">
        <v>394</v>
      </c>
      <c r="E93" s="378" t="str">
        <f>'FM Proportion Calc'!E$82</f>
        <v>ODI end of period revenue adjustment ~ Wastewater network at 2017-18 FYA CPIH deflated price base</v>
      </c>
      <c r="F93" s="378">
        <f>'FM Proportion Calc'!F$82</f>
        <v>0</v>
      </c>
      <c r="G93" s="378" t="str">
        <f>'FM Proportion Calc'!G$82</f>
        <v>£m</v>
      </c>
      <c r="H93" s="378">
        <f>'FM Proportion Calc'!H$82</f>
        <v>0</v>
      </c>
      <c r="I93" s="378">
        <f>'FM Proportion Calc'!I$82</f>
        <v>0</v>
      </c>
      <c r="J93" s="378">
        <f>'FM Proportion Calc'!J$82</f>
        <v>0</v>
      </c>
      <c r="K93" s="378">
        <f>'FM Proportion Calc'!K$82</f>
        <v>0</v>
      </c>
      <c r="L93" s="378">
        <f>'FM Proportion Calc'!L$82</f>
        <v>0</v>
      </c>
      <c r="M93" s="378">
        <f>'FM Proportion Calc'!M$82</f>
        <v>0</v>
      </c>
      <c r="N93" s="378">
        <f>'FM Proportion Calc'!N$82</f>
        <v>0</v>
      </c>
      <c r="O93" s="378">
        <f>'FM Proportion Calc'!O$82</f>
        <v>0</v>
      </c>
      <c r="P93" s="378">
        <f>'FM Proportion Calc'!P$82</f>
        <v>0</v>
      </c>
      <c r="Q93" s="378">
        <f>'FM Proportion Calc'!Q$82</f>
        <v>0</v>
      </c>
      <c r="R93" s="378">
        <f>'FM Proportion Calc'!R$82</f>
        <v>0</v>
      </c>
      <c r="S93" s="378">
        <f>'FM Proportion Calc'!S$82</f>
        <v>0</v>
      </c>
      <c r="T93" s="378">
        <f>'FM Proportion Calc'!T$82</f>
        <v>0</v>
      </c>
      <c r="U93" s="378">
        <f>'FM Proportion Calc'!U$82</f>
        <v>0</v>
      </c>
      <c r="V93" s="378">
        <f>'FM Proportion Calc'!V$82</f>
        <v>0</v>
      </c>
    </row>
    <row r="94" spans="1:22">
      <c r="A94" s="352" t="s">
        <v>395</v>
      </c>
      <c r="E94" s="378" t="str">
        <f>'FM Proportion Calc'!E$83</f>
        <v>WRFIM total reward / (penalty) at the end of AMP6 ~ Wastewater network at 2017-18 FYA CPIH deflated price base</v>
      </c>
      <c r="F94" s="378">
        <f>'FM Proportion Calc'!F$83</f>
        <v>0</v>
      </c>
      <c r="G94" s="378" t="str">
        <f>'FM Proportion Calc'!G$83</f>
        <v>£m</v>
      </c>
      <c r="H94" s="378">
        <f>'FM Proportion Calc'!H$83</f>
        <v>0</v>
      </c>
      <c r="I94" s="378">
        <f>'FM Proportion Calc'!I$83</f>
        <v>0</v>
      </c>
      <c r="J94" s="378">
        <f>'FM Proportion Calc'!J$83</f>
        <v>0</v>
      </c>
      <c r="K94" s="378">
        <f>'FM Proportion Calc'!K$83</f>
        <v>0</v>
      </c>
      <c r="L94" s="378">
        <f>'FM Proportion Calc'!L$83</f>
        <v>0</v>
      </c>
      <c r="M94" s="378">
        <f>'FM Proportion Calc'!M$83</f>
        <v>0</v>
      </c>
      <c r="N94" s="378">
        <f>'FM Proportion Calc'!N$83</f>
        <v>0</v>
      </c>
      <c r="O94" s="378">
        <f>'FM Proportion Calc'!O$83</f>
        <v>0</v>
      </c>
      <c r="P94" s="378">
        <f>'FM Proportion Calc'!P$83</f>
        <v>0</v>
      </c>
      <c r="Q94" s="378">
        <f>'FM Proportion Calc'!Q$83</f>
        <v>0</v>
      </c>
      <c r="R94" s="378">
        <f>'FM Proportion Calc'!R$83</f>
        <v>0</v>
      </c>
      <c r="S94" s="378">
        <f>'FM Proportion Calc'!S$83</f>
        <v>0</v>
      </c>
      <c r="T94" s="378">
        <f>'FM Proportion Calc'!T$83</f>
        <v>0</v>
      </c>
      <c r="U94" s="378">
        <f>'FM Proportion Calc'!U$83</f>
        <v>0</v>
      </c>
      <c r="V94" s="378">
        <f>'FM Proportion Calc'!V$83</f>
        <v>0</v>
      </c>
    </row>
    <row r="95" spans="1:22">
      <c r="A95" s="352" t="s">
        <v>396</v>
      </c>
      <c r="E95" s="378" t="str">
        <f>'FM Proportion Calc'!E$84</f>
        <v>Wastewater: Totex menu revenue adjustment at 2017-18 FYA CPIH deflated price base</v>
      </c>
      <c r="F95" s="378">
        <f>'FM Proportion Calc'!F$84</f>
        <v>0</v>
      </c>
      <c r="G95" s="378" t="str">
        <f>'FM Proportion Calc'!G$84</f>
        <v>£m</v>
      </c>
      <c r="H95" s="378">
        <f>'FM Proportion Calc'!H$84</f>
        <v>0</v>
      </c>
      <c r="I95" s="378">
        <f>'FM Proportion Calc'!I$84</f>
        <v>0</v>
      </c>
      <c r="J95" s="378">
        <f>'FM Proportion Calc'!J$84</f>
        <v>0</v>
      </c>
      <c r="K95" s="378">
        <f>'FM Proportion Calc'!K$84</f>
        <v>0</v>
      </c>
      <c r="L95" s="378">
        <f>'FM Proportion Calc'!L$84</f>
        <v>0</v>
      </c>
      <c r="M95" s="378">
        <f>'FM Proportion Calc'!M$84</f>
        <v>0</v>
      </c>
      <c r="N95" s="378">
        <f>'FM Proportion Calc'!N$84</f>
        <v>0</v>
      </c>
      <c r="O95" s="378">
        <f>'FM Proportion Calc'!O$84</f>
        <v>0</v>
      </c>
      <c r="P95" s="378">
        <f>'FM Proportion Calc'!P$84</f>
        <v>0</v>
      </c>
      <c r="Q95" s="378">
        <f>'FM Proportion Calc'!Q$84</f>
        <v>0</v>
      </c>
      <c r="R95" s="378">
        <f>'FM Proportion Calc'!R$84</f>
        <v>0</v>
      </c>
      <c r="S95" s="378">
        <f>'FM Proportion Calc'!S$84</f>
        <v>0</v>
      </c>
      <c r="T95" s="378">
        <f>'FM Proportion Calc'!T$84</f>
        <v>0</v>
      </c>
      <c r="U95" s="378">
        <f>'FM Proportion Calc'!U$84</f>
        <v>0</v>
      </c>
      <c r="V95" s="378">
        <f>'FM Proportion Calc'!V$84</f>
        <v>0</v>
      </c>
    </row>
    <row r="96" spans="1:22">
      <c r="A96" s="352" t="s">
        <v>397</v>
      </c>
      <c r="E96" s="378" t="str">
        <f>'FM Proportion Calc'!E$85</f>
        <v>Further 2010-15 reconciliation total adjustment revenue carry forward to PR19 ~ Wastewater network at 2017-18 FYA CPIH deflated price base</v>
      </c>
      <c r="F96" s="378">
        <f>'FM Proportion Calc'!F$85</f>
        <v>0</v>
      </c>
      <c r="G96" s="378" t="str">
        <f>'FM Proportion Calc'!G$85</f>
        <v>£m</v>
      </c>
      <c r="H96" s="378">
        <f>'FM Proportion Calc'!H$85</f>
        <v>0</v>
      </c>
      <c r="I96" s="378">
        <f>'FM Proportion Calc'!I$85</f>
        <v>0</v>
      </c>
      <c r="J96" s="378">
        <f>'FM Proportion Calc'!J$85</f>
        <v>0</v>
      </c>
      <c r="K96" s="378">
        <f>'FM Proportion Calc'!K$85</f>
        <v>0</v>
      </c>
      <c r="L96" s="378">
        <f>'FM Proportion Calc'!L$85</f>
        <v>0</v>
      </c>
      <c r="M96" s="378">
        <f>'FM Proportion Calc'!M$85</f>
        <v>0</v>
      </c>
      <c r="N96" s="378">
        <f>'FM Proportion Calc'!N$85</f>
        <v>0</v>
      </c>
      <c r="O96" s="378">
        <f>'FM Proportion Calc'!O$85</f>
        <v>0</v>
      </c>
      <c r="P96" s="378">
        <f>'FM Proportion Calc'!P$85</f>
        <v>0</v>
      </c>
      <c r="Q96" s="378">
        <f>'FM Proportion Calc'!Q$85</f>
        <v>0</v>
      </c>
      <c r="R96" s="378">
        <f>'FM Proportion Calc'!R$85</f>
        <v>0</v>
      </c>
      <c r="S96" s="378">
        <f>'FM Proportion Calc'!S$85</f>
        <v>0</v>
      </c>
      <c r="T96" s="378">
        <f>'FM Proportion Calc'!T$85</f>
        <v>0</v>
      </c>
      <c r="U96" s="378">
        <f>'FM Proportion Calc'!U$85</f>
        <v>0</v>
      </c>
      <c r="V96" s="378">
        <f>'FM Proportion Calc'!V$85</f>
        <v>0</v>
      </c>
    </row>
    <row r="97" spans="1:22">
      <c r="A97" s="352" t="s">
        <v>398</v>
      </c>
      <c r="E97" s="378" t="str">
        <f>'FM Proportion Calc'!E$104</f>
        <v>ODI in-period revenue adjustment ~ Bioresources at 2017-18 FYA CPIH deflated price base</v>
      </c>
      <c r="F97" s="378">
        <f>'FM Proportion Calc'!F$104</f>
        <v>0</v>
      </c>
      <c r="G97" s="378" t="str">
        <f>'FM Proportion Calc'!G$104</f>
        <v>£m</v>
      </c>
      <c r="H97" s="378">
        <f>'FM Proportion Calc'!H$104</f>
        <v>0</v>
      </c>
      <c r="I97" s="378">
        <f>'FM Proportion Calc'!I$104</f>
        <v>0</v>
      </c>
      <c r="J97" s="378">
        <f>'FM Proportion Calc'!J$104</f>
        <v>0</v>
      </c>
      <c r="K97" s="378">
        <f>'FM Proportion Calc'!K$104</f>
        <v>0</v>
      </c>
      <c r="L97" s="378">
        <f>'FM Proportion Calc'!L$104</f>
        <v>0</v>
      </c>
      <c r="M97" s="378">
        <f>'FM Proportion Calc'!M$104</f>
        <v>0</v>
      </c>
      <c r="N97" s="378">
        <f>'FM Proportion Calc'!N$104</f>
        <v>0</v>
      </c>
      <c r="O97" s="378">
        <f>'FM Proportion Calc'!O$104</f>
        <v>0</v>
      </c>
      <c r="P97" s="378">
        <f>'FM Proportion Calc'!P$104</f>
        <v>0</v>
      </c>
      <c r="Q97" s="378">
        <f>'FM Proportion Calc'!Q$104</f>
        <v>0</v>
      </c>
      <c r="R97" s="378">
        <f>'FM Proportion Calc'!R$104</f>
        <v>0</v>
      </c>
      <c r="S97" s="378">
        <f>'FM Proportion Calc'!S$104</f>
        <v>0</v>
      </c>
      <c r="T97" s="378">
        <f>'FM Proportion Calc'!T$104</f>
        <v>0</v>
      </c>
      <c r="U97" s="378">
        <f>'FM Proportion Calc'!U$104</f>
        <v>0</v>
      </c>
      <c r="V97" s="378">
        <f>'FM Proportion Calc'!V$104</f>
        <v>0</v>
      </c>
    </row>
    <row r="98" spans="1:22">
      <c r="A98" s="352" t="s">
        <v>399</v>
      </c>
      <c r="E98" s="378" t="str">
        <f>'FM Proportion Calc'!E$105</f>
        <v>ODI end of period revenue adjustment ~ Bioresources at 2017-18 FYA CPIH deflated price base</v>
      </c>
      <c r="F98" s="378">
        <f>'FM Proportion Calc'!F$105</f>
        <v>0</v>
      </c>
      <c r="G98" s="378" t="str">
        <f>'FM Proportion Calc'!G$105</f>
        <v>£m</v>
      </c>
      <c r="H98" s="378">
        <f>'FM Proportion Calc'!H$105</f>
        <v>0</v>
      </c>
      <c r="I98" s="378">
        <f>'FM Proportion Calc'!I$105</f>
        <v>0</v>
      </c>
      <c r="J98" s="378">
        <f>'FM Proportion Calc'!J$105</f>
        <v>0</v>
      </c>
      <c r="K98" s="378">
        <f>'FM Proportion Calc'!K$105</f>
        <v>0</v>
      </c>
      <c r="L98" s="378">
        <f>'FM Proportion Calc'!L$105</f>
        <v>0</v>
      </c>
      <c r="M98" s="378">
        <f>'FM Proportion Calc'!M$105</f>
        <v>0</v>
      </c>
      <c r="N98" s="378">
        <f>'FM Proportion Calc'!N$105</f>
        <v>0</v>
      </c>
      <c r="O98" s="378">
        <f>'FM Proportion Calc'!O$105</f>
        <v>0</v>
      </c>
      <c r="P98" s="378">
        <f>'FM Proportion Calc'!P$105</f>
        <v>0</v>
      </c>
      <c r="Q98" s="378">
        <f>'FM Proportion Calc'!Q$105</f>
        <v>0</v>
      </c>
      <c r="R98" s="378">
        <f>'FM Proportion Calc'!R$105</f>
        <v>0</v>
      </c>
      <c r="S98" s="378">
        <f>'FM Proportion Calc'!S$105</f>
        <v>0</v>
      </c>
      <c r="T98" s="378">
        <f>'FM Proportion Calc'!T$105</f>
        <v>0</v>
      </c>
      <c r="U98" s="378">
        <f>'FM Proportion Calc'!U$105</f>
        <v>0</v>
      </c>
      <c r="V98" s="378">
        <f>'FM Proportion Calc'!V$105</f>
        <v>0</v>
      </c>
    </row>
    <row r="99" spans="1:22">
      <c r="A99" s="352" t="s">
        <v>400</v>
      </c>
      <c r="E99" s="378" t="str">
        <f>'FM Proportion Calc'!E$124</f>
        <v>Dummy: revenue adjustment from totex menu model at 2017-18 FYA CPIH deflated price base</v>
      </c>
      <c r="F99" s="378">
        <f>'FM Proportion Calc'!F$124</f>
        <v>0</v>
      </c>
      <c r="G99" s="378" t="str">
        <f>'FM Proportion Calc'!G$124</f>
        <v>£m</v>
      </c>
      <c r="H99" s="378">
        <f>'FM Proportion Calc'!H$124</f>
        <v>0</v>
      </c>
      <c r="I99" s="378">
        <f>'FM Proportion Calc'!I$124</f>
        <v>0</v>
      </c>
      <c r="J99" s="378">
        <f>'FM Proportion Calc'!J$124</f>
        <v>0</v>
      </c>
      <c r="K99" s="378">
        <f>'FM Proportion Calc'!K$124</f>
        <v>0</v>
      </c>
      <c r="L99" s="378">
        <f>'FM Proportion Calc'!L$124</f>
        <v>0</v>
      </c>
      <c r="M99" s="378">
        <f>'FM Proportion Calc'!M$124</f>
        <v>0</v>
      </c>
      <c r="N99" s="378">
        <f>'FM Proportion Calc'!N$124</f>
        <v>0</v>
      </c>
      <c r="O99" s="378">
        <f>'FM Proportion Calc'!O$124</f>
        <v>0</v>
      </c>
      <c r="P99" s="378">
        <f>'FM Proportion Calc'!P$124</f>
        <v>0</v>
      </c>
      <c r="Q99" s="378">
        <f>'FM Proportion Calc'!Q$124</f>
        <v>0</v>
      </c>
      <c r="R99" s="378">
        <f>'FM Proportion Calc'!R$124</f>
        <v>0</v>
      </c>
      <c r="S99" s="378">
        <f>'FM Proportion Calc'!S$124</f>
        <v>0</v>
      </c>
      <c r="T99" s="378">
        <f>'FM Proportion Calc'!T$124</f>
        <v>0</v>
      </c>
      <c r="U99" s="378">
        <f>'FM Proportion Calc'!U$124</f>
        <v>0</v>
      </c>
      <c r="V99" s="378">
        <f>'FM Proportion Calc'!V$124</f>
        <v>0</v>
      </c>
    </row>
    <row r="100" spans="1:22">
      <c r="A100" s="352" t="s">
        <v>401</v>
      </c>
      <c r="E100" s="378" t="str">
        <f>'FM Proportion Calc'!E$125</f>
        <v>WRFIM total reward / (penalty) at the end of AMP6 ~ Dummy at 2017-18 FYA CPIH deflated price base</v>
      </c>
      <c r="F100" s="378">
        <f>'FM Proportion Calc'!F$125</f>
        <v>0</v>
      </c>
      <c r="G100" s="378" t="str">
        <f>'FM Proportion Calc'!G$125</f>
        <v>£m</v>
      </c>
      <c r="H100" s="378">
        <f>'FM Proportion Calc'!H$125</f>
        <v>0</v>
      </c>
      <c r="I100" s="378">
        <f>'FM Proportion Calc'!I$125</f>
        <v>0</v>
      </c>
      <c r="J100" s="378">
        <f>'FM Proportion Calc'!J$125</f>
        <v>0</v>
      </c>
      <c r="K100" s="378">
        <f>'FM Proportion Calc'!K$125</f>
        <v>0</v>
      </c>
      <c r="L100" s="378">
        <f>'FM Proportion Calc'!L$125</f>
        <v>0</v>
      </c>
      <c r="M100" s="378">
        <f>'FM Proportion Calc'!M$125</f>
        <v>0</v>
      </c>
      <c r="N100" s="378">
        <f>'FM Proportion Calc'!N$125</f>
        <v>0</v>
      </c>
      <c r="O100" s="378">
        <f>'FM Proportion Calc'!O$125</f>
        <v>0</v>
      </c>
      <c r="P100" s="378">
        <f>'FM Proportion Calc'!P$125</f>
        <v>0</v>
      </c>
      <c r="Q100" s="378">
        <f>'FM Proportion Calc'!Q$125</f>
        <v>0</v>
      </c>
      <c r="R100" s="378">
        <f>'FM Proportion Calc'!R$125</f>
        <v>0</v>
      </c>
      <c r="S100" s="378">
        <f>'FM Proportion Calc'!S$125</f>
        <v>0</v>
      </c>
      <c r="T100" s="378">
        <f>'FM Proportion Calc'!T$125</f>
        <v>0</v>
      </c>
      <c r="U100" s="378">
        <f>'FM Proportion Calc'!U$125</f>
        <v>0</v>
      </c>
      <c r="V100" s="378">
        <f>'FM Proportion Calc'!V$125</f>
        <v>0</v>
      </c>
    </row>
  </sheetData>
  <conditionalFormatting sqref="F1">
    <cfRule type="expression" dxfId="8" priority="3">
      <formula xml:space="preserve"> $F$1 = "Notionalised"</formula>
    </cfRule>
  </conditionalFormatting>
  <conditionalFormatting sqref="G1">
    <cfRule type="expression" dxfId="7" priority="2">
      <formula xml:space="preserve"> $F$1 = "Notionalised"</formula>
    </cfRule>
  </conditionalFormatting>
  <conditionalFormatting sqref="F2">
    <cfRule type="cellIs" dxfId="6" priority="1" operator="greaterThan">
      <formula>0</formula>
    </cfRule>
  </conditionalFormatting>
  <printOptions headings="1"/>
  <pageMargins left="0.74803149606299213" right="0.74803149606299213" top="0.98425196850393704" bottom="0.98425196850393704" header="0.51181102362204722" footer="0.51181102362204722"/>
  <pageSetup paperSize="8" scale="55" orientation="landscape" blackAndWhite="1"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4" stopIfTrue="1" operator="equal" id="{3A6A907F-5CF8-4047-B3D7-23B43B8AE107}">
            <xm:f>Inputs!$F$21</xm:f>
            <x14:dxf>
              <fill>
                <patternFill>
                  <bgColor indexed="44"/>
                </patternFill>
              </fill>
            </x14:dxf>
          </x14:cfRule>
          <x14:cfRule type="cellIs" priority="5" stopIfTrue="1" operator="equal" id="{4A87AED6-62CD-4104-A978-D3CFAF90D3DB}">
            <xm:f>Inputs!$F$20</xm:f>
            <x14:dxf>
              <fill>
                <patternFill>
                  <bgColor indexed="47"/>
                </patternFill>
              </fill>
            </x14:dxf>
          </x14:cfRule>
          <xm:sqref>J3:V3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CCFFFF"/>
  </sheetPr>
  <dimension ref="A1:I24"/>
  <sheetViews>
    <sheetView showGridLines="0" zoomScale="85" zoomScaleNormal="85" workbookViewId="0">
      <pane xSplit="9" ySplit="5" topLeftCell="XEL6" activePane="bottomRight" state="frozen"/>
      <selection pane="bottomRight" activeCell="F17" sqref="F17"/>
      <selection pane="bottomLeft" activeCell="A6" sqref="A6"/>
      <selection pane="topRight" activeCell="J1" sqref="J1"/>
    </sheetView>
  </sheetViews>
  <sheetFormatPr defaultColWidth="0" defaultRowHeight="12.75"/>
  <cols>
    <col min="1" max="1" width="9.140625" customWidth="1"/>
    <col min="2" max="4" width="2.5703125" customWidth="1"/>
    <col min="5" max="5" width="89.28515625" customWidth="1"/>
    <col min="6" max="7" width="9.140625" customWidth="1"/>
    <col min="8" max="8" width="8.42578125" customWidth="1"/>
    <col min="9" max="9" width="3.140625" customWidth="1"/>
    <col min="10" max="16384" width="9.140625" hidden="1"/>
  </cols>
  <sheetData>
    <row r="1" spans="1:9" ht="26.25">
      <c r="A1" s="26" t="e">
        <f ca="1" xml:space="preserve"> RIGHT(CELL("filename", $A$1), LEN(CELL("filename", $A$1)) - SEARCH("]", CELL("filename", $A$1)))</f>
        <v>#VALUE!</v>
      </c>
    </row>
    <row r="2" spans="1:9">
      <c r="E2" s="3" t="str">
        <f xml:space="preserve"> Time!E$25</f>
        <v>Model period ending</v>
      </c>
      <c r="F2" s="377">
        <f>Checks!F$11</f>
        <v>1</v>
      </c>
      <c r="G2" s="133" t="str">
        <f>Checks!G$11</f>
        <v>Checks</v>
      </c>
    </row>
    <row r="3" spans="1:9">
      <c r="E3" s="3" t="str">
        <f xml:space="preserve"> Time!E$80</f>
        <v>Timeline label</v>
      </c>
    </row>
    <row r="4" spans="1:9">
      <c r="E4" s="3" t="str">
        <f xml:space="preserve"> Time!E$103</f>
        <v>Financial year ending</v>
      </c>
    </row>
    <row r="5" spans="1:9">
      <c r="E5" s="3" t="str">
        <f xml:space="preserve"> Time!E$10</f>
        <v>Model column counter</v>
      </c>
      <c r="F5" t="s">
        <v>538</v>
      </c>
      <c r="G5" t="s">
        <v>105</v>
      </c>
    </row>
    <row r="7" spans="1:9">
      <c r="A7" s="39" t="s">
        <v>901</v>
      </c>
      <c r="B7" s="39"/>
      <c r="C7" s="39"/>
      <c r="D7" s="39"/>
      <c r="E7" s="39"/>
      <c r="F7" s="39"/>
      <c r="G7" s="39"/>
      <c r="H7" s="39"/>
      <c r="I7" s="39"/>
    </row>
    <row r="9" spans="1:9">
      <c r="A9" s="10" t="s">
        <v>902</v>
      </c>
    </row>
    <row r="11" spans="1:9">
      <c r="E11" t="s">
        <v>903</v>
      </c>
      <c r="F11" s="389">
        <f>SUM(F13:F22)</f>
        <v>1</v>
      </c>
      <c r="G11" t="s">
        <v>904</v>
      </c>
    </row>
    <row r="13" spans="1:9">
      <c r="A13" s="388"/>
      <c r="B13" s="388"/>
      <c r="C13" s="388"/>
      <c r="D13" s="388"/>
      <c r="E13" s="375" t="s">
        <v>905</v>
      </c>
      <c r="F13" s="131"/>
      <c r="G13" s="388"/>
      <c r="H13" s="388"/>
      <c r="I13" s="388"/>
    </row>
    <row r="14" spans="1:9">
      <c r="F14" s="335"/>
    </row>
    <row r="15" spans="1:9">
      <c r="E15" t="s">
        <v>906</v>
      </c>
      <c r="F15" s="377">
        <f>Inputs!A$5</f>
        <v>0</v>
      </c>
      <c r="G15" t="s">
        <v>904</v>
      </c>
    </row>
    <row r="16" spans="1:9">
      <c r="E16" s="12" t="str">
        <f>'FM Proportion Calc'!E30</f>
        <v>Water resources total profiling adjustment check</v>
      </c>
      <c r="F16" s="377">
        <f>'FM Proportion Calc'!F30</f>
        <v>0</v>
      </c>
      <c r="G16" s="12" t="str">
        <f>'FM Proportion Calc'!G30</f>
        <v>Check</v>
      </c>
    </row>
    <row r="17" spans="1:9">
      <c r="E17" s="12" t="str">
        <f>'FM Proportion Calc'!E63</f>
        <v>Water network total profiling adjustment check</v>
      </c>
      <c r="F17" s="377">
        <f>'FM Proportion Calc'!F63</f>
        <v>1</v>
      </c>
      <c r="G17" s="12" t="str">
        <f>'FM Proportion Calc'!G63</f>
        <v>Check</v>
      </c>
    </row>
    <row r="18" spans="1:9">
      <c r="E18" s="12" t="str">
        <f>'FM Proportion Calc'!E90</f>
        <v>Wastewater network total profiling adjustment check</v>
      </c>
      <c r="F18" s="377">
        <f>'FM Proportion Calc'!F90</f>
        <v>0</v>
      </c>
      <c r="G18" s="12" t="str">
        <f>'FM Proportion Calc'!G90</f>
        <v>Check</v>
      </c>
    </row>
    <row r="19" spans="1:9">
      <c r="E19" s="12" t="str">
        <f>'FM Proportion Calc'!E110</f>
        <v>Bioresources total profiling adjustment check</v>
      </c>
      <c r="F19" s="377">
        <f>'FM Proportion Calc'!F110</f>
        <v>0</v>
      </c>
      <c r="G19" s="12" t="str">
        <f>'FM Proportion Calc'!G110</f>
        <v>Check</v>
      </c>
    </row>
    <row r="20" spans="1:9">
      <c r="E20" s="12" t="str">
        <f>'FM Proportion Calc'!E130</f>
        <v>Dummy control total profiling adjustment check</v>
      </c>
      <c r="F20" s="377">
        <f>'FM Proportion Calc'!F130</f>
        <v>0</v>
      </c>
      <c r="G20" s="12" t="str">
        <f>'FM Proportion Calc'!G130</f>
        <v>Check</v>
      </c>
    </row>
    <row r="21" spans="1:9">
      <c r="F21" s="335"/>
    </row>
    <row r="22" spans="1:9">
      <c r="A22" s="388"/>
      <c r="B22" s="388"/>
      <c r="C22" s="388"/>
      <c r="D22" s="388"/>
      <c r="E22" s="375" t="s">
        <v>905</v>
      </c>
      <c r="F22" s="131"/>
      <c r="G22" s="388"/>
      <c r="H22" s="388"/>
      <c r="I22" s="388"/>
    </row>
    <row r="24" spans="1:9">
      <c r="A24" s="375" t="s">
        <v>885</v>
      </c>
      <c r="B24" s="388"/>
      <c r="C24" s="388"/>
      <c r="D24" s="388"/>
      <c r="E24" s="375"/>
      <c r="F24" s="388"/>
      <c r="G24" s="388"/>
      <c r="H24" s="388"/>
      <c r="I24" s="388"/>
    </row>
  </sheetData>
  <conditionalFormatting sqref="F16:F20">
    <cfRule type="cellIs" dxfId="3" priority="4" operator="greaterThan">
      <formula>0</formula>
    </cfRule>
  </conditionalFormatting>
  <conditionalFormatting sqref="F11">
    <cfRule type="cellIs" dxfId="2" priority="3" operator="greaterThan">
      <formula>0</formula>
    </cfRule>
  </conditionalFormatting>
  <conditionalFormatting sqref="F2">
    <cfRule type="cellIs" dxfId="1" priority="2" operator="greaterThan">
      <formula>0</formula>
    </cfRule>
  </conditionalFormatting>
  <conditionalFormatting sqref="F15">
    <cfRule type="cellIs" dxfId="0" priority="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6"/>
  <sheetViews>
    <sheetView workbookViewId="0">
      <selection activeCell="A21" sqref="A21"/>
    </sheetView>
  </sheetViews>
  <sheetFormatPr defaultRowHeight="12.75"/>
  <sheetData>
    <row r="1" spans="1:2">
      <c r="A1" t="s">
        <v>53</v>
      </c>
      <c r="B1" t="s">
        <v>54</v>
      </c>
    </row>
    <row r="2" spans="1:2">
      <c r="A2" t="s">
        <v>55</v>
      </c>
      <c r="B2" t="s">
        <v>56</v>
      </c>
    </row>
    <row r="3" spans="1:2">
      <c r="A3" t="s">
        <v>57</v>
      </c>
      <c r="B3" t="s">
        <v>58</v>
      </c>
    </row>
    <row r="4" spans="1:2">
      <c r="A4" t="s">
        <v>59</v>
      </c>
      <c r="B4" t="s">
        <v>60</v>
      </c>
    </row>
    <row r="5" spans="1:2">
      <c r="A5" t="s">
        <v>61</v>
      </c>
      <c r="B5" t="s">
        <v>62</v>
      </c>
    </row>
    <row r="6" spans="1:2">
      <c r="A6" t="s">
        <v>63</v>
      </c>
      <c r="B6" t="s">
        <v>60</v>
      </c>
    </row>
    <row r="7" spans="1:2">
      <c r="A7" t="s">
        <v>64</v>
      </c>
      <c r="B7" t="s">
        <v>62</v>
      </c>
    </row>
    <row r="8" spans="1:2">
      <c r="A8" t="s">
        <v>65</v>
      </c>
      <c r="B8" t="s">
        <v>66</v>
      </c>
    </row>
    <row r="9" spans="1:2">
      <c r="A9" t="s">
        <v>67</v>
      </c>
      <c r="B9" t="s">
        <v>68</v>
      </c>
    </row>
    <row r="10" spans="1:2">
      <c r="A10" t="s">
        <v>69</v>
      </c>
      <c r="B10" t="s">
        <v>70</v>
      </c>
    </row>
    <row r="11" spans="1:2">
      <c r="A11" t="s">
        <v>71</v>
      </c>
      <c r="B11" t="s">
        <v>72</v>
      </c>
    </row>
    <row r="12" spans="1:2">
      <c r="A12" t="s">
        <v>73</v>
      </c>
      <c r="B12" t="s">
        <v>74</v>
      </c>
    </row>
    <row r="13" spans="1:2">
      <c r="A13" t="s">
        <v>75</v>
      </c>
      <c r="B13" t="s">
        <v>76</v>
      </c>
    </row>
    <row r="14" spans="1:2">
      <c r="A14" t="s">
        <v>77</v>
      </c>
      <c r="B14" t="s">
        <v>78</v>
      </c>
    </row>
    <row r="15" spans="1:2">
      <c r="A15" t="s">
        <v>79</v>
      </c>
      <c r="B15" t="s">
        <v>80</v>
      </c>
    </row>
    <row r="16" spans="1:2">
      <c r="A16" t="s">
        <v>81</v>
      </c>
      <c r="B16" t="s">
        <v>82</v>
      </c>
    </row>
    <row r="17" spans="1:2">
      <c r="A17" t="s">
        <v>83</v>
      </c>
      <c r="B17" t="s">
        <v>84</v>
      </c>
    </row>
    <row r="18" spans="1:2">
      <c r="A18" t="s">
        <v>85</v>
      </c>
      <c r="B18" t="s">
        <v>84</v>
      </c>
    </row>
    <row r="19" spans="1:2">
      <c r="A19" t="s">
        <v>86</v>
      </c>
      <c r="B19" t="s">
        <v>87</v>
      </c>
    </row>
    <row r="20" spans="1:2">
      <c r="A20" t="s">
        <v>88</v>
      </c>
      <c r="B20" t="s">
        <v>89</v>
      </c>
    </row>
    <row r="21" spans="1:2">
      <c r="A21" t="s">
        <v>90</v>
      </c>
      <c r="B21" t="s">
        <v>91</v>
      </c>
    </row>
    <row r="22" spans="1:2">
      <c r="A22" t="s">
        <v>92</v>
      </c>
      <c r="B22" t="s">
        <v>93</v>
      </c>
    </row>
    <row r="23" spans="1:2">
      <c r="A23" t="s">
        <v>94</v>
      </c>
      <c r="B23" t="s">
        <v>76</v>
      </c>
    </row>
    <row r="24" spans="1:2">
      <c r="A24" t="s">
        <v>95</v>
      </c>
      <c r="B24" t="s">
        <v>96</v>
      </c>
    </row>
    <row r="25" spans="1:2">
      <c r="A25" t="s">
        <v>97</v>
      </c>
      <c r="B25" t="s">
        <v>98</v>
      </c>
    </row>
    <row r="26" spans="1:2">
      <c r="A26" t="s">
        <v>99</v>
      </c>
      <c r="B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56"/>
  <sheetViews>
    <sheetView topLeftCell="A36" workbookViewId="0">
      <selection activeCell="I12" sqref="I12"/>
    </sheetView>
  </sheetViews>
  <sheetFormatPr defaultRowHeight="12.75"/>
  <cols>
    <col min="1" max="1" width="6" customWidth="1"/>
    <col min="2" max="2" width="11" customWidth="1"/>
    <col min="3" max="3" width="40.28515625" customWidth="1"/>
    <col min="4" max="4" width="3.7109375" customWidth="1"/>
    <col min="5" max="5" width="17.5703125" bestFit="1" customWidth="1"/>
    <col min="6" max="17" width="8.7109375" customWidth="1"/>
    <col min="18" max="18" width="16.28515625" customWidth="1"/>
  </cols>
  <sheetData>
    <row r="1" spans="1:18">
      <c r="C1" t="s">
        <v>101</v>
      </c>
    </row>
    <row r="2" spans="1:18">
      <c r="A2" t="s">
        <v>102</v>
      </c>
      <c r="B2" t="s">
        <v>103</v>
      </c>
      <c r="C2" t="s">
        <v>104</v>
      </c>
      <c r="D2" t="s">
        <v>105</v>
      </c>
      <c r="E2" t="s">
        <v>106</v>
      </c>
      <c r="F2" t="s">
        <v>107</v>
      </c>
    </row>
    <row r="4" spans="1:18">
      <c r="F4" t="s">
        <v>108</v>
      </c>
    </row>
    <row r="5" spans="1:18">
      <c r="F5" t="s">
        <v>109</v>
      </c>
    </row>
    <row r="6" spans="1:18">
      <c r="F6" t="s">
        <v>110</v>
      </c>
      <c r="G6" t="s">
        <v>111</v>
      </c>
      <c r="H6" t="s">
        <v>112</v>
      </c>
      <c r="I6" t="s">
        <v>113</v>
      </c>
      <c r="J6" t="s">
        <v>114</v>
      </c>
      <c r="K6" t="s">
        <v>115</v>
      </c>
      <c r="L6" t="s">
        <v>116</v>
      </c>
      <c r="M6" t="s">
        <v>117</v>
      </c>
      <c r="N6" t="s">
        <v>118</v>
      </c>
      <c r="O6" t="s">
        <v>119</v>
      </c>
      <c r="P6" t="s">
        <v>120</v>
      </c>
      <c r="Q6" t="s">
        <v>121</v>
      </c>
      <c r="R6" t="s">
        <v>122</v>
      </c>
    </row>
    <row r="7" spans="1:18">
      <c r="B7" t="s">
        <v>123</v>
      </c>
      <c r="C7" t="s">
        <v>124</v>
      </c>
      <c r="D7" t="s">
        <v>125</v>
      </c>
      <c r="E7" t="s">
        <v>107</v>
      </c>
      <c r="F7" s="337">
        <v>93.3</v>
      </c>
      <c r="G7" s="337">
        <v>95.9</v>
      </c>
      <c r="H7" s="337">
        <v>98</v>
      </c>
      <c r="I7" s="337">
        <v>99.6</v>
      </c>
      <c r="J7" s="337">
        <v>99.9</v>
      </c>
      <c r="K7" s="337">
        <v>100.6</v>
      </c>
      <c r="L7" s="337">
        <v>103.2</v>
      </c>
      <c r="M7" s="337"/>
      <c r="N7" s="337"/>
      <c r="O7" s="337"/>
      <c r="P7" s="337"/>
      <c r="Q7" s="337"/>
      <c r="R7" s="337"/>
    </row>
    <row r="8" spans="1:18">
      <c r="B8" t="s">
        <v>126</v>
      </c>
      <c r="C8" t="s">
        <v>127</v>
      </c>
      <c r="D8" t="s">
        <v>125</v>
      </c>
      <c r="E8" t="s">
        <v>107</v>
      </c>
      <c r="F8" s="337">
        <v>93.5</v>
      </c>
      <c r="G8" s="337">
        <v>95.9</v>
      </c>
      <c r="H8" s="337">
        <v>98.2</v>
      </c>
      <c r="I8" s="337">
        <v>99.6</v>
      </c>
      <c r="J8" s="337">
        <v>100.1</v>
      </c>
      <c r="K8" s="337">
        <v>100.8</v>
      </c>
      <c r="L8" s="337">
        <v>103.5</v>
      </c>
      <c r="M8" s="337"/>
      <c r="N8" s="337"/>
      <c r="O8" s="337"/>
      <c r="P8" s="337"/>
      <c r="Q8" s="337"/>
      <c r="R8" s="337"/>
    </row>
    <row r="9" spans="1:18">
      <c r="B9" t="s">
        <v>128</v>
      </c>
      <c r="C9" t="s">
        <v>129</v>
      </c>
      <c r="D9" t="s">
        <v>125</v>
      </c>
      <c r="E9" t="s">
        <v>107</v>
      </c>
      <c r="F9" s="337">
        <v>93.5</v>
      </c>
      <c r="G9" s="337">
        <v>95.6</v>
      </c>
      <c r="H9" s="337">
        <v>98</v>
      </c>
      <c r="I9" s="337">
        <v>99.8</v>
      </c>
      <c r="J9" s="337">
        <v>100.1</v>
      </c>
      <c r="K9" s="337">
        <v>101</v>
      </c>
      <c r="L9" s="337">
        <v>103.5</v>
      </c>
      <c r="M9" s="337"/>
      <c r="N9" s="337"/>
      <c r="O9" s="337"/>
      <c r="P9" s="337"/>
      <c r="Q9" s="337"/>
      <c r="R9" s="337"/>
    </row>
    <row r="10" spans="1:18">
      <c r="B10" t="s">
        <v>130</v>
      </c>
      <c r="C10" t="s">
        <v>131</v>
      </c>
      <c r="D10" t="s">
        <v>125</v>
      </c>
      <c r="E10" t="s">
        <v>107</v>
      </c>
      <c r="F10" s="337">
        <v>93.5</v>
      </c>
      <c r="G10" s="337">
        <v>95.7</v>
      </c>
      <c r="H10" s="337">
        <v>98</v>
      </c>
      <c r="I10" s="337">
        <v>99.6</v>
      </c>
      <c r="J10" s="337">
        <v>100</v>
      </c>
      <c r="K10" s="337">
        <v>100.9</v>
      </c>
      <c r="L10" s="337">
        <v>103.5</v>
      </c>
      <c r="M10" s="337"/>
      <c r="N10" s="337"/>
      <c r="O10" s="337"/>
      <c r="P10" s="337"/>
      <c r="Q10" s="337"/>
      <c r="R10" s="337"/>
    </row>
    <row r="11" spans="1:18">
      <c r="B11" t="s">
        <v>132</v>
      </c>
      <c r="C11" t="s">
        <v>133</v>
      </c>
      <c r="D11" t="s">
        <v>125</v>
      </c>
      <c r="E11" t="s">
        <v>107</v>
      </c>
      <c r="F11" s="337">
        <v>93.9</v>
      </c>
      <c r="G11" s="337">
        <v>96.1</v>
      </c>
      <c r="H11" s="337">
        <v>98.4</v>
      </c>
      <c r="I11" s="337">
        <v>99.9</v>
      </c>
      <c r="J11" s="337">
        <v>100.3</v>
      </c>
      <c r="K11" s="337">
        <v>101.2</v>
      </c>
      <c r="L11" s="337">
        <v>104</v>
      </c>
      <c r="M11" s="337"/>
      <c r="N11" s="337"/>
      <c r="O11" s="337"/>
      <c r="P11" s="337"/>
      <c r="Q11" s="337"/>
      <c r="R11" s="337"/>
    </row>
    <row r="12" spans="1:18">
      <c r="B12" t="s">
        <v>134</v>
      </c>
      <c r="C12" t="s">
        <v>135</v>
      </c>
      <c r="D12" t="s">
        <v>125</v>
      </c>
      <c r="E12" t="s">
        <v>107</v>
      </c>
      <c r="F12" s="337">
        <v>94.5</v>
      </c>
      <c r="G12" s="337">
        <v>96.4</v>
      </c>
      <c r="H12" s="337">
        <v>98.7</v>
      </c>
      <c r="I12" s="337">
        <v>100</v>
      </c>
      <c r="J12" s="337">
        <v>100.2</v>
      </c>
      <c r="K12" s="337">
        <v>101.5</v>
      </c>
      <c r="L12" s="337">
        <v>104.3</v>
      </c>
      <c r="M12" s="337"/>
      <c r="N12" s="337"/>
      <c r="O12" s="337"/>
      <c r="P12" s="337"/>
      <c r="Q12" s="337"/>
      <c r="R12" s="337"/>
    </row>
    <row r="13" spans="1:18">
      <c r="B13" t="s">
        <v>136</v>
      </c>
      <c r="C13" t="s">
        <v>137</v>
      </c>
      <c r="D13" t="s">
        <v>125</v>
      </c>
      <c r="E13" t="s">
        <v>107</v>
      </c>
      <c r="F13" s="337">
        <v>94.5</v>
      </c>
      <c r="G13" s="337">
        <v>96.8</v>
      </c>
      <c r="H13" s="337">
        <v>98.8</v>
      </c>
      <c r="I13" s="337">
        <v>100.1</v>
      </c>
      <c r="J13" s="337">
        <v>100.3</v>
      </c>
      <c r="K13" s="337">
        <v>101.6</v>
      </c>
      <c r="L13" s="337">
        <v>104.4</v>
      </c>
      <c r="M13" s="337"/>
      <c r="N13" s="337"/>
      <c r="O13" s="337"/>
      <c r="P13" s="337"/>
      <c r="Q13" s="337"/>
      <c r="R13" s="337"/>
    </row>
    <row r="14" spans="1:18">
      <c r="B14" t="s">
        <v>138</v>
      </c>
      <c r="C14" t="s">
        <v>139</v>
      </c>
      <c r="D14" t="s">
        <v>125</v>
      </c>
      <c r="E14" t="s">
        <v>107</v>
      </c>
      <c r="F14" s="337">
        <v>94.7</v>
      </c>
      <c r="G14" s="337">
        <v>97</v>
      </c>
      <c r="H14" s="337">
        <v>98.8</v>
      </c>
      <c r="I14" s="337">
        <v>99.9</v>
      </c>
      <c r="J14" s="337">
        <v>100.3</v>
      </c>
      <c r="K14" s="337">
        <v>101.8</v>
      </c>
      <c r="L14" s="337">
        <v>104.7</v>
      </c>
      <c r="M14" s="337"/>
      <c r="N14" s="337"/>
      <c r="O14" s="337"/>
      <c r="P14" s="337"/>
      <c r="Q14" s="337"/>
      <c r="R14" s="337"/>
    </row>
    <row r="15" spans="1:18">
      <c r="B15" t="s">
        <v>140</v>
      </c>
      <c r="C15" t="s">
        <v>141</v>
      </c>
      <c r="D15" t="s">
        <v>125</v>
      </c>
      <c r="E15" t="s">
        <v>107</v>
      </c>
      <c r="F15" s="337">
        <v>95</v>
      </c>
      <c r="G15" s="337">
        <v>97.3</v>
      </c>
      <c r="H15" s="337">
        <v>99.2</v>
      </c>
      <c r="I15" s="337">
        <v>99.9</v>
      </c>
      <c r="J15" s="337">
        <v>100.4</v>
      </c>
      <c r="K15" s="337">
        <v>102.2</v>
      </c>
      <c r="L15" s="337">
        <v>105</v>
      </c>
      <c r="M15" s="337"/>
      <c r="N15" s="337"/>
      <c r="O15" s="337"/>
      <c r="P15" s="337"/>
      <c r="Q15" s="337"/>
      <c r="R15" s="337"/>
    </row>
    <row r="16" spans="1:18">
      <c r="B16" t="s">
        <v>142</v>
      </c>
      <c r="C16" t="s">
        <v>143</v>
      </c>
      <c r="D16" t="s">
        <v>125</v>
      </c>
      <c r="E16" t="s">
        <v>107</v>
      </c>
      <c r="F16" s="337">
        <v>94.7</v>
      </c>
      <c r="G16" s="337">
        <v>97</v>
      </c>
      <c r="H16" s="337">
        <v>98.7</v>
      </c>
      <c r="I16" s="337">
        <v>99.2</v>
      </c>
      <c r="J16" s="337">
        <v>99.9</v>
      </c>
      <c r="K16" s="337">
        <v>101.8</v>
      </c>
      <c r="L16" s="337">
        <v>104.5</v>
      </c>
      <c r="M16" s="337"/>
      <c r="N16" s="337"/>
      <c r="O16" s="337"/>
      <c r="P16" s="337"/>
      <c r="Q16" s="337"/>
      <c r="R16" s="337"/>
    </row>
    <row r="17" spans="2:18">
      <c r="B17" t="s">
        <v>144</v>
      </c>
      <c r="C17" t="s">
        <v>145</v>
      </c>
      <c r="D17" t="s">
        <v>125</v>
      </c>
      <c r="E17" t="s">
        <v>107</v>
      </c>
      <c r="F17" s="337">
        <v>95.2</v>
      </c>
      <c r="G17" s="337">
        <v>97.5</v>
      </c>
      <c r="H17" s="337">
        <v>99.1</v>
      </c>
      <c r="I17" s="337">
        <v>99.5</v>
      </c>
      <c r="J17" s="337">
        <v>100.1</v>
      </c>
      <c r="K17" s="337">
        <v>102.4</v>
      </c>
      <c r="L17" s="337">
        <v>104.9</v>
      </c>
      <c r="M17" s="337"/>
      <c r="N17" s="337"/>
      <c r="O17" s="337"/>
      <c r="P17" s="337"/>
      <c r="Q17" s="337"/>
      <c r="R17" s="337"/>
    </row>
    <row r="18" spans="2:18">
      <c r="B18" t="s">
        <v>146</v>
      </c>
      <c r="C18" t="s">
        <v>147</v>
      </c>
      <c r="D18" t="s">
        <v>125</v>
      </c>
      <c r="E18" t="s">
        <v>107</v>
      </c>
      <c r="F18" s="337">
        <v>95.4</v>
      </c>
      <c r="G18" s="337">
        <v>97.8</v>
      </c>
      <c r="H18" s="337">
        <v>99.3</v>
      </c>
      <c r="I18" s="337">
        <v>99.6</v>
      </c>
      <c r="J18" s="337">
        <v>100.4</v>
      </c>
      <c r="K18" s="337">
        <v>102.7</v>
      </c>
      <c r="L18" s="337">
        <v>105.1</v>
      </c>
      <c r="M18" s="337"/>
      <c r="N18" s="337"/>
      <c r="O18" s="337"/>
      <c r="P18" s="337"/>
      <c r="Q18" s="337"/>
      <c r="R18" s="337"/>
    </row>
    <row r="19" spans="2:18">
      <c r="B19" t="s">
        <v>148</v>
      </c>
      <c r="C19" t="s">
        <v>149</v>
      </c>
      <c r="D19" t="s">
        <v>125</v>
      </c>
      <c r="E19" t="s">
        <v>107</v>
      </c>
      <c r="F19" s="337">
        <v>234.4</v>
      </c>
      <c r="G19" s="337">
        <v>242.5</v>
      </c>
      <c r="H19" s="337">
        <v>249.5</v>
      </c>
      <c r="I19" s="337">
        <v>255.7</v>
      </c>
      <c r="J19" s="337">
        <v>258</v>
      </c>
      <c r="K19" s="337">
        <v>261.39999999999998</v>
      </c>
      <c r="L19" s="337">
        <v>270.60000000000002</v>
      </c>
      <c r="M19" s="337"/>
      <c r="N19" s="337"/>
      <c r="O19" s="337"/>
      <c r="P19" s="337"/>
      <c r="Q19" s="337"/>
      <c r="R19" s="337"/>
    </row>
    <row r="20" spans="2:18">
      <c r="B20" t="s">
        <v>150</v>
      </c>
      <c r="C20" t="s">
        <v>151</v>
      </c>
      <c r="D20" t="s">
        <v>125</v>
      </c>
      <c r="E20" t="s">
        <v>107</v>
      </c>
      <c r="F20" s="337">
        <v>235.2</v>
      </c>
      <c r="G20" s="337">
        <v>242.4</v>
      </c>
      <c r="H20" s="337">
        <v>250</v>
      </c>
      <c r="I20" s="337">
        <v>255.9</v>
      </c>
      <c r="J20" s="337">
        <v>258.5</v>
      </c>
      <c r="K20" s="337">
        <v>262.10000000000002</v>
      </c>
      <c r="L20" s="337">
        <v>271.7</v>
      </c>
      <c r="M20" s="337"/>
      <c r="N20" s="337"/>
      <c r="O20" s="337"/>
      <c r="P20" s="337"/>
      <c r="Q20" s="337"/>
      <c r="R20" s="337"/>
    </row>
    <row r="21" spans="2:18">
      <c r="B21" t="s">
        <v>152</v>
      </c>
      <c r="C21" t="s">
        <v>153</v>
      </c>
      <c r="D21" t="s">
        <v>125</v>
      </c>
      <c r="E21" t="s">
        <v>107</v>
      </c>
      <c r="F21" s="337">
        <v>235.2</v>
      </c>
      <c r="G21" s="337">
        <v>241.8</v>
      </c>
      <c r="H21" s="337">
        <v>249.7</v>
      </c>
      <c r="I21" s="337">
        <v>256.3</v>
      </c>
      <c r="J21" s="337">
        <v>258.89999999999998</v>
      </c>
      <c r="K21" s="337">
        <v>263.10000000000002</v>
      </c>
      <c r="L21" s="337">
        <v>272.3</v>
      </c>
      <c r="M21" s="337"/>
      <c r="N21" s="337"/>
      <c r="O21" s="337"/>
      <c r="P21" s="337"/>
      <c r="Q21" s="337"/>
      <c r="R21" s="337"/>
    </row>
    <row r="22" spans="2:18">
      <c r="B22" t="s">
        <v>154</v>
      </c>
      <c r="C22" t="s">
        <v>155</v>
      </c>
      <c r="D22" t="s">
        <v>125</v>
      </c>
      <c r="E22" t="s">
        <v>107</v>
      </c>
      <c r="F22" s="337">
        <v>234.7</v>
      </c>
      <c r="G22" s="337">
        <v>242.1</v>
      </c>
      <c r="H22" s="337">
        <v>249.7</v>
      </c>
      <c r="I22" s="337">
        <v>256</v>
      </c>
      <c r="J22" s="337">
        <v>258.60000000000002</v>
      </c>
      <c r="K22" s="337">
        <v>263.39999999999998</v>
      </c>
      <c r="L22" s="337">
        <v>272.89999999999998</v>
      </c>
      <c r="M22" s="337"/>
      <c r="N22" s="337"/>
      <c r="O22" s="337"/>
      <c r="P22" s="337"/>
      <c r="Q22" s="337"/>
      <c r="R22" s="337"/>
    </row>
    <row r="23" spans="2:18">
      <c r="B23" t="s">
        <v>156</v>
      </c>
      <c r="C23" t="s">
        <v>157</v>
      </c>
      <c r="D23" t="s">
        <v>125</v>
      </c>
      <c r="E23" t="s">
        <v>107</v>
      </c>
      <c r="F23" s="337">
        <v>236.1</v>
      </c>
      <c r="G23" s="337">
        <v>243</v>
      </c>
      <c r="H23" s="337">
        <v>251</v>
      </c>
      <c r="I23" s="337">
        <v>257</v>
      </c>
      <c r="J23" s="337">
        <v>259.8</v>
      </c>
      <c r="K23" s="337">
        <v>264.39999999999998</v>
      </c>
      <c r="L23" s="337">
        <v>274.7</v>
      </c>
      <c r="M23" s="337"/>
      <c r="N23" s="337"/>
      <c r="O23" s="337"/>
      <c r="P23" s="337"/>
      <c r="Q23" s="337"/>
      <c r="R23" s="337"/>
    </row>
    <row r="24" spans="2:18">
      <c r="B24" t="s">
        <v>158</v>
      </c>
      <c r="C24" t="s">
        <v>159</v>
      </c>
      <c r="D24" t="s">
        <v>125</v>
      </c>
      <c r="E24" t="s">
        <v>107</v>
      </c>
      <c r="F24" s="337">
        <v>237.9</v>
      </c>
      <c r="G24" s="337">
        <v>244.2</v>
      </c>
      <c r="H24" s="337">
        <v>251.9</v>
      </c>
      <c r="I24" s="337">
        <v>257.60000000000002</v>
      </c>
      <c r="J24" s="337">
        <v>259.60000000000002</v>
      </c>
      <c r="K24" s="337">
        <v>264.89999999999998</v>
      </c>
      <c r="L24" s="337">
        <v>275.10000000000002</v>
      </c>
      <c r="M24" s="337"/>
      <c r="N24" s="337"/>
      <c r="O24" s="337"/>
      <c r="P24" s="337"/>
      <c r="Q24" s="337"/>
      <c r="R24" s="337"/>
    </row>
    <row r="25" spans="2:18">
      <c r="B25" t="s">
        <v>160</v>
      </c>
      <c r="C25" t="s">
        <v>161</v>
      </c>
      <c r="D25" t="s">
        <v>125</v>
      </c>
      <c r="E25" t="s">
        <v>107</v>
      </c>
      <c r="F25" s="337">
        <v>238</v>
      </c>
      <c r="G25" s="337">
        <v>245.6</v>
      </c>
      <c r="H25" s="337">
        <v>251.9</v>
      </c>
      <c r="I25" s="337">
        <v>257.7</v>
      </c>
      <c r="J25" s="337">
        <v>259.5</v>
      </c>
      <c r="K25" s="337">
        <v>264.8</v>
      </c>
      <c r="L25" s="337">
        <v>275.3</v>
      </c>
      <c r="M25" s="337"/>
      <c r="N25" s="337"/>
      <c r="O25" s="337"/>
      <c r="P25" s="337"/>
      <c r="Q25" s="337"/>
      <c r="R25" s="337"/>
    </row>
    <row r="26" spans="2:18">
      <c r="B26" t="s">
        <v>162</v>
      </c>
      <c r="C26" t="s">
        <v>163</v>
      </c>
      <c r="D26" t="s">
        <v>125</v>
      </c>
      <c r="E26" t="s">
        <v>107</v>
      </c>
      <c r="F26" s="337">
        <v>238.5</v>
      </c>
      <c r="G26" s="337">
        <v>245.6</v>
      </c>
      <c r="H26" s="337">
        <v>252.1</v>
      </c>
      <c r="I26" s="337">
        <v>257.10000000000002</v>
      </c>
      <c r="J26" s="337">
        <v>259.8</v>
      </c>
      <c r="K26" s="337">
        <v>265.5</v>
      </c>
      <c r="L26" s="337">
        <v>275.8</v>
      </c>
      <c r="M26" s="337"/>
      <c r="N26" s="337"/>
      <c r="O26" s="337"/>
      <c r="P26" s="337"/>
      <c r="Q26" s="337"/>
      <c r="R26" s="337"/>
    </row>
    <row r="27" spans="2:18">
      <c r="B27" t="s">
        <v>164</v>
      </c>
      <c r="C27" t="s">
        <v>165</v>
      </c>
      <c r="D27" t="s">
        <v>125</v>
      </c>
      <c r="E27" t="s">
        <v>107</v>
      </c>
      <c r="F27" s="337">
        <v>239.4</v>
      </c>
      <c r="G27" s="337">
        <v>246.8</v>
      </c>
      <c r="H27" s="337">
        <v>253.4</v>
      </c>
      <c r="I27" s="337">
        <v>257.5</v>
      </c>
      <c r="J27" s="337">
        <v>260.60000000000002</v>
      </c>
      <c r="K27" s="337">
        <v>267.10000000000002</v>
      </c>
      <c r="L27" s="337">
        <v>278.10000000000002</v>
      </c>
      <c r="M27" s="337"/>
      <c r="N27" s="337"/>
      <c r="O27" s="337"/>
      <c r="P27" s="337"/>
      <c r="Q27" s="337"/>
      <c r="R27" s="337"/>
    </row>
    <row r="28" spans="2:18">
      <c r="B28" t="s">
        <v>166</v>
      </c>
      <c r="C28" t="s">
        <v>167</v>
      </c>
      <c r="D28" t="s">
        <v>125</v>
      </c>
      <c r="E28" t="s">
        <v>107</v>
      </c>
      <c r="F28" s="337">
        <v>238</v>
      </c>
      <c r="G28" s="337">
        <v>245.8</v>
      </c>
      <c r="H28" s="337">
        <v>252.6</v>
      </c>
      <c r="I28" s="337">
        <v>255.4</v>
      </c>
      <c r="J28" s="337">
        <v>258.8</v>
      </c>
      <c r="K28" s="337">
        <v>265.5</v>
      </c>
      <c r="L28" s="337">
        <v>276</v>
      </c>
      <c r="M28" s="337"/>
      <c r="N28" s="337"/>
      <c r="O28" s="337"/>
      <c r="P28" s="337"/>
      <c r="Q28" s="337"/>
      <c r="R28" s="337"/>
    </row>
    <row r="29" spans="2:18">
      <c r="B29" t="s">
        <v>168</v>
      </c>
      <c r="C29" t="s">
        <v>169</v>
      </c>
      <c r="D29" t="s">
        <v>125</v>
      </c>
      <c r="E29" t="s">
        <v>107</v>
      </c>
      <c r="F29" s="337">
        <v>239.9</v>
      </c>
      <c r="G29" s="337">
        <v>247.6</v>
      </c>
      <c r="H29" s="337">
        <v>254.2</v>
      </c>
      <c r="I29" s="337">
        <v>256.7</v>
      </c>
      <c r="J29" s="337">
        <v>260</v>
      </c>
      <c r="K29" s="337">
        <v>268.39999999999998</v>
      </c>
      <c r="L29" s="337">
        <v>278.10000000000002</v>
      </c>
      <c r="M29" s="337"/>
      <c r="N29" s="337"/>
      <c r="O29" s="337"/>
      <c r="P29" s="337"/>
      <c r="Q29" s="337"/>
      <c r="R29" s="337"/>
    </row>
    <row r="30" spans="2:18">
      <c r="B30" t="s">
        <v>170</v>
      </c>
      <c r="C30" t="s">
        <v>171</v>
      </c>
      <c r="D30" t="s">
        <v>125</v>
      </c>
      <c r="E30" t="s">
        <v>107</v>
      </c>
      <c r="F30" s="337">
        <v>240.8</v>
      </c>
      <c r="G30" s="337">
        <v>248.7</v>
      </c>
      <c r="H30" s="337">
        <v>254.8</v>
      </c>
      <c r="I30" s="337">
        <v>257.10000000000002</v>
      </c>
      <c r="J30" s="337">
        <v>261.10000000000002</v>
      </c>
      <c r="K30" s="337">
        <v>269.3</v>
      </c>
      <c r="L30" s="337">
        <v>278.3</v>
      </c>
      <c r="M30" s="337"/>
      <c r="N30" s="337"/>
      <c r="O30" s="337"/>
      <c r="P30" s="337"/>
      <c r="Q30" s="337"/>
      <c r="R30" s="337"/>
    </row>
    <row r="31" spans="2:18">
      <c r="B31" t="s">
        <v>172</v>
      </c>
      <c r="C31" t="s">
        <v>173</v>
      </c>
      <c r="D31" t="s">
        <v>174</v>
      </c>
      <c r="E31" t="s">
        <v>107</v>
      </c>
      <c r="F31" s="338"/>
      <c r="G31" s="338"/>
      <c r="H31" s="338"/>
      <c r="I31" s="338"/>
      <c r="J31" s="338"/>
      <c r="K31" s="338"/>
      <c r="L31" s="338"/>
      <c r="M31" s="338"/>
      <c r="N31" s="338"/>
      <c r="O31" s="338"/>
      <c r="P31" s="338"/>
      <c r="Q31" s="338"/>
      <c r="R31" s="338"/>
    </row>
    <row r="32" spans="2:18">
      <c r="B32" t="s">
        <v>175</v>
      </c>
      <c r="C32" t="s">
        <v>176</v>
      </c>
      <c r="D32" t="s">
        <v>174</v>
      </c>
      <c r="E32" t="s">
        <v>107</v>
      </c>
      <c r="F32" s="339"/>
      <c r="G32" s="339"/>
      <c r="H32" s="339"/>
      <c r="I32" s="339"/>
      <c r="J32" s="339"/>
      <c r="K32" s="339"/>
      <c r="L32" s="339"/>
      <c r="M32" s="339"/>
      <c r="N32" s="339"/>
      <c r="O32" s="339"/>
      <c r="P32" s="339"/>
      <c r="Q32" s="339"/>
      <c r="R32" s="339"/>
    </row>
    <row r="33" spans="2:18">
      <c r="B33" t="s">
        <v>177</v>
      </c>
      <c r="C33" t="s">
        <v>178</v>
      </c>
      <c r="D33" t="s">
        <v>174</v>
      </c>
      <c r="E33" t="s">
        <v>107</v>
      </c>
      <c r="F33" s="340"/>
      <c r="G33" s="340"/>
      <c r="H33" s="340"/>
      <c r="I33" s="340"/>
      <c r="J33" s="340"/>
      <c r="K33" s="340"/>
      <c r="L33" s="340"/>
      <c r="M33" s="340"/>
      <c r="N33" s="340"/>
      <c r="O33" s="340"/>
      <c r="P33" s="340"/>
      <c r="Q33" s="340"/>
      <c r="R33" s="340"/>
    </row>
    <row r="34" spans="2:18">
      <c r="B34" t="s">
        <v>179</v>
      </c>
      <c r="C34" t="s">
        <v>180</v>
      </c>
      <c r="D34" t="s">
        <v>174</v>
      </c>
      <c r="E34" t="s">
        <v>107</v>
      </c>
      <c r="F34" s="340"/>
      <c r="G34" s="340"/>
      <c r="H34" s="340"/>
      <c r="I34" s="340"/>
      <c r="J34" s="340"/>
      <c r="K34" s="340"/>
      <c r="L34" s="340"/>
      <c r="M34" s="340"/>
      <c r="N34" s="340"/>
      <c r="O34" s="340"/>
      <c r="P34" s="340"/>
      <c r="Q34" s="340"/>
      <c r="R34" s="340"/>
    </row>
    <row r="35" spans="2:18">
      <c r="B35" t="s">
        <v>181</v>
      </c>
      <c r="C35" t="s">
        <v>182</v>
      </c>
      <c r="D35" t="s">
        <v>174</v>
      </c>
      <c r="E35" t="s">
        <v>107</v>
      </c>
      <c r="F35" s="340"/>
      <c r="G35" s="340"/>
      <c r="H35" s="340"/>
      <c r="I35" s="340"/>
      <c r="J35" s="340"/>
      <c r="K35" s="340"/>
      <c r="L35" s="340"/>
      <c r="M35" s="340"/>
      <c r="N35" s="340"/>
      <c r="O35" s="340"/>
      <c r="P35" s="340"/>
      <c r="Q35" s="340"/>
      <c r="R35" s="340"/>
    </row>
    <row r="36" spans="2:18">
      <c r="B36" t="s">
        <v>183</v>
      </c>
      <c r="C36" t="s">
        <v>184</v>
      </c>
      <c r="D36" t="s">
        <v>174</v>
      </c>
      <c r="E36" t="s">
        <v>107</v>
      </c>
      <c r="F36" s="341"/>
      <c r="G36" s="341"/>
      <c r="H36" s="341"/>
      <c r="I36" s="341"/>
      <c r="J36" s="341"/>
      <c r="K36" s="341"/>
      <c r="L36" s="341"/>
      <c r="M36" s="341"/>
      <c r="N36" s="341"/>
      <c r="O36" s="341"/>
      <c r="P36" s="341"/>
      <c r="Q36" s="341"/>
      <c r="R36" s="341"/>
    </row>
    <row r="37" spans="2:18">
      <c r="B37" t="s">
        <v>185</v>
      </c>
      <c r="C37" t="s">
        <v>186</v>
      </c>
      <c r="D37" t="s">
        <v>174</v>
      </c>
      <c r="E37" t="s">
        <v>107</v>
      </c>
      <c r="F37" s="342"/>
      <c r="G37" s="342"/>
      <c r="H37" s="342"/>
      <c r="I37" s="342"/>
      <c r="J37" s="342"/>
      <c r="K37" s="342"/>
      <c r="L37" s="342"/>
      <c r="M37" s="342"/>
      <c r="N37" s="342"/>
      <c r="O37" s="342"/>
      <c r="P37" s="342"/>
      <c r="Q37" s="342"/>
      <c r="R37" s="342"/>
    </row>
    <row r="38" spans="2:18">
      <c r="B38" t="s">
        <v>187</v>
      </c>
      <c r="C38" t="s">
        <v>188</v>
      </c>
      <c r="D38" t="s">
        <v>174</v>
      </c>
      <c r="E38" t="s">
        <v>107</v>
      </c>
      <c r="F38" s="340"/>
      <c r="G38" s="340"/>
      <c r="H38" s="340"/>
      <c r="I38" s="340"/>
      <c r="J38" s="340"/>
      <c r="K38" s="340"/>
      <c r="L38" s="340"/>
      <c r="M38" s="340"/>
      <c r="N38" s="340"/>
      <c r="O38" s="340"/>
      <c r="P38" s="340"/>
      <c r="Q38" s="340"/>
      <c r="R38" s="340"/>
    </row>
    <row r="39" spans="2:18">
      <c r="B39" t="s">
        <v>189</v>
      </c>
      <c r="C39" t="s">
        <v>190</v>
      </c>
      <c r="D39" t="s">
        <v>174</v>
      </c>
      <c r="E39" t="s">
        <v>107</v>
      </c>
      <c r="F39" s="340"/>
      <c r="G39" s="340"/>
      <c r="H39" s="340"/>
      <c r="I39" s="340"/>
      <c r="J39" s="340"/>
      <c r="K39" s="340"/>
      <c r="L39" s="340"/>
      <c r="M39" s="340"/>
      <c r="N39" s="340"/>
      <c r="O39" s="340"/>
      <c r="P39" s="340"/>
      <c r="Q39" s="340"/>
      <c r="R39" s="340"/>
    </row>
    <row r="40" spans="2:18">
      <c r="B40" t="s">
        <v>191</v>
      </c>
      <c r="C40" t="s">
        <v>192</v>
      </c>
      <c r="D40" t="s">
        <v>174</v>
      </c>
      <c r="E40" t="s">
        <v>107</v>
      </c>
      <c r="F40" s="340"/>
      <c r="G40" s="340"/>
      <c r="H40" s="340"/>
      <c r="I40" s="340"/>
      <c r="J40" s="340"/>
      <c r="K40" s="340"/>
      <c r="L40" s="340"/>
      <c r="M40" s="340"/>
      <c r="N40" s="340"/>
      <c r="O40" s="340"/>
      <c r="P40" s="340"/>
      <c r="Q40" s="340"/>
      <c r="R40" s="340"/>
    </row>
    <row r="41" spans="2:18">
      <c r="B41" t="s">
        <v>193</v>
      </c>
      <c r="C41" t="s">
        <v>194</v>
      </c>
      <c r="D41" t="s">
        <v>174</v>
      </c>
      <c r="E41" t="s">
        <v>107</v>
      </c>
      <c r="F41" s="340"/>
      <c r="G41" s="340"/>
      <c r="H41" s="340"/>
      <c r="I41" s="340"/>
      <c r="J41" s="340"/>
      <c r="K41" s="340"/>
      <c r="L41" s="340"/>
      <c r="M41" s="340"/>
      <c r="N41" s="340"/>
      <c r="O41" s="340"/>
      <c r="P41" s="340"/>
      <c r="Q41" s="340"/>
      <c r="R41" s="340"/>
    </row>
    <row r="42" spans="2:18">
      <c r="B42" t="s">
        <v>195</v>
      </c>
      <c r="C42" t="s">
        <v>196</v>
      </c>
      <c r="D42" t="s">
        <v>174</v>
      </c>
      <c r="E42" t="s">
        <v>107</v>
      </c>
      <c r="F42" s="343"/>
      <c r="G42" s="343"/>
      <c r="H42" s="343"/>
      <c r="I42" s="343"/>
      <c r="J42" s="343"/>
      <c r="K42" s="343"/>
      <c r="L42" s="343"/>
      <c r="M42" s="343"/>
      <c r="N42" s="343"/>
      <c r="O42" s="343"/>
      <c r="P42" s="343"/>
      <c r="Q42" s="343"/>
      <c r="R42" s="343"/>
    </row>
    <row r="43" spans="2:18">
      <c r="B43" t="s">
        <v>197</v>
      </c>
      <c r="C43" t="s">
        <v>198</v>
      </c>
      <c r="D43" t="s">
        <v>174</v>
      </c>
      <c r="E43" t="s">
        <v>107</v>
      </c>
      <c r="F43" s="344"/>
      <c r="G43" s="344"/>
      <c r="H43" s="344"/>
      <c r="I43" s="344"/>
      <c r="J43" s="344"/>
      <c r="K43" s="344"/>
      <c r="L43" s="344"/>
      <c r="M43" s="344"/>
      <c r="N43" s="344"/>
      <c r="O43" s="344"/>
      <c r="P43" s="344"/>
      <c r="Q43" s="344"/>
      <c r="R43" s="344"/>
    </row>
    <row r="44" spans="2:18">
      <c r="B44" t="s">
        <v>199</v>
      </c>
      <c r="C44" t="s">
        <v>200</v>
      </c>
      <c r="D44" t="s">
        <v>174</v>
      </c>
      <c r="E44" t="s">
        <v>107</v>
      </c>
      <c r="F44" s="340"/>
      <c r="G44" s="340"/>
      <c r="H44" s="340"/>
      <c r="I44" s="340"/>
      <c r="J44" s="340"/>
      <c r="K44" s="340"/>
      <c r="L44" s="340"/>
      <c r="M44" s="340"/>
      <c r="N44" s="340"/>
      <c r="O44" s="340"/>
      <c r="P44" s="340"/>
      <c r="Q44" s="340"/>
      <c r="R44" s="340"/>
    </row>
    <row r="45" spans="2:18">
      <c r="B45" t="s">
        <v>201</v>
      </c>
      <c r="C45" t="s">
        <v>202</v>
      </c>
      <c r="D45" t="s">
        <v>174</v>
      </c>
      <c r="E45" t="s">
        <v>107</v>
      </c>
      <c r="F45" s="345"/>
      <c r="G45" s="345"/>
      <c r="H45" s="345"/>
      <c r="I45" s="345"/>
      <c r="J45" s="345"/>
      <c r="K45" s="345"/>
      <c r="L45" s="345"/>
      <c r="M45" s="345"/>
      <c r="N45" s="345"/>
      <c r="O45" s="345"/>
      <c r="P45" s="345"/>
      <c r="Q45" s="345"/>
      <c r="R45" s="345"/>
    </row>
    <row r="46" spans="2:18">
      <c r="B46" t="s">
        <v>203</v>
      </c>
      <c r="C46" t="s">
        <v>204</v>
      </c>
      <c r="D46" t="s">
        <v>174</v>
      </c>
      <c r="E46" t="s">
        <v>107</v>
      </c>
      <c r="F46" s="346"/>
      <c r="G46" s="346"/>
      <c r="H46" s="346"/>
      <c r="I46" s="346"/>
      <c r="J46" s="346"/>
      <c r="K46" s="346"/>
      <c r="L46" s="346"/>
      <c r="M46" s="346"/>
      <c r="N46" s="346"/>
      <c r="O46" s="346"/>
      <c r="P46" s="346"/>
      <c r="Q46" s="346"/>
      <c r="R46" s="346"/>
    </row>
    <row r="47" spans="2:18">
      <c r="B47" t="s">
        <v>205</v>
      </c>
      <c r="C47" t="s">
        <v>206</v>
      </c>
      <c r="D47" t="s">
        <v>174</v>
      </c>
      <c r="E47" t="s">
        <v>107</v>
      </c>
      <c r="F47" s="340"/>
      <c r="G47" s="340"/>
      <c r="H47" s="340"/>
      <c r="I47" s="340"/>
      <c r="J47" s="340"/>
      <c r="K47" s="340"/>
      <c r="L47" s="340"/>
      <c r="M47" s="340"/>
      <c r="N47" s="340"/>
      <c r="O47" s="340"/>
      <c r="P47" s="340"/>
      <c r="Q47" s="340"/>
      <c r="R47" s="340"/>
    </row>
    <row r="48" spans="2:18">
      <c r="B48" t="s">
        <v>207</v>
      </c>
      <c r="C48" t="s">
        <v>208</v>
      </c>
      <c r="D48" t="s">
        <v>174</v>
      </c>
      <c r="E48" t="s">
        <v>107</v>
      </c>
      <c r="F48" s="340"/>
      <c r="G48" s="340"/>
      <c r="H48" s="340"/>
      <c r="I48" s="340"/>
      <c r="J48" s="340"/>
      <c r="K48" s="340"/>
      <c r="L48" s="340"/>
      <c r="M48" s="340"/>
      <c r="N48" s="340"/>
      <c r="O48" s="340"/>
      <c r="P48" s="340"/>
      <c r="Q48" s="340"/>
      <c r="R48" s="340"/>
    </row>
    <row r="49" spans="2:18">
      <c r="B49" t="s">
        <v>209</v>
      </c>
      <c r="C49" t="s">
        <v>210</v>
      </c>
      <c r="D49" t="s">
        <v>174</v>
      </c>
      <c r="E49" t="s">
        <v>107</v>
      </c>
      <c r="F49" s="340"/>
      <c r="G49" s="340"/>
      <c r="H49" s="340"/>
      <c r="I49" s="340"/>
      <c r="J49" s="340"/>
      <c r="K49" s="340"/>
      <c r="L49" s="340"/>
      <c r="M49" s="340"/>
      <c r="N49" s="340"/>
      <c r="O49" s="340"/>
      <c r="P49" s="340"/>
      <c r="Q49" s="340"/>
      <c r="R49" s="340"/>
    </row>
    <row r="50" spans="2:18">
      <c r="B50" t="s">
        <v>211</v>
      </c>
      <c r="C50" t="s">
        <v>212</v>
      </c>
      <c r="D50" t="s">
        <v>174</v>
      </c>
      <c r="E50" t="s">
        <v>107</v>
      </c>
      <c r="F50" s="340"/>
      <c r="G50" s="340"/>
      <c r="H50" s="340"/>
      <c r="I50" s="340"/>
      <c r="J50" s="340"/>
      <c r="K50" s="340"/>
      <c r="L50" s="340"/>
      <c r="M50" s="340"/>
      <c r="N50" s="340"/>
      <c r="O50" s="340"/>
      <c r="P50" s="340"/>
      <c r="Q50" s="340"/>
      <c r="R50" s="340"/>
    </row>
    <row r="51" spans="2:18">
      <c r="B51" t="s">
        <v>213</v>
      </c>
      <c r="C51" t="s">
        <v>214</v>
      </c>
      <c r="D51" t="s">
        <v>174</v>
      </c>
      <c r="E51" t="s">
        <v>107</v>
      </c>
      <c r="F51" s="347"/>
      <c r="G51" s="347"/>
      <c r="H51" s="347"/>
      <c r="I51" s="347"/>
      <c r="J51" s="347"/>
      <c r="K51" s="347"/>
      <c r="L51" s="347"/>
      <c r="M51" s="347"/>
      <c r="N51" s="347"/>
      <c r="O51" s="347"/>
      <c r="P51" s="347"/>
      <c r="Q51" s="347"/>
      <c r="R51" s="347"/>
    </row>
    <row r="52" spans="2:18">
      <c r="B52" t="s">
        <v>215</v>
      </c>
      <c r="C52" t="s">
        <v>216</v>
      </c>
      <c r="D52" t="s">
        <v>174</v>
      </c>
      <c r="E52" t="s">
        <v>107</v>
      </c>
      <c r="F52" s="348"/>
      <c r="G52" s="348"/>
      <c r="H52" s="348"/>
      <c r="I52" s="348"/>
      <c r="J52" s="348"/>
      <c r="K52" s="348"/>
      <c r="L52" s="348"/>
      <c r="M52" s="348"/>
      <c r="N52" s="348"/>
      <c r="O52" s="348"/>
      <c r="P52" s="348"/>
      <c r="Q52" s="348"/>
      <c r="R52" s="348"/>
    </row>
    <row r="53" spans="2:18">
      <c r="B53" t="s">
        <v>217</v>
      </c>
      <c r="C53" t="s">
        <v>218</v>
      </c>
      <c r="D53" t="s">
        <v>174</v>
      </c>
      <c r="E53" t="s">
        <v>107</v>
      </c>
      <c r="F53" s="340"/>
      <c r="G53" s="340"/>
      <c r="H53" s="340"/>
      <c r="I53" s="340"/>
      <c r="J53" s="340"/>
      <c r="K53" s="340"/>
      <c r="L53" s="340"/>
      <c r="M53" s="340"/>
      <c r="N53" s="340"/>
      <c r="O53" s="340"/>
      <c r="P53" s="340"/>
      <c r="Q53" s="340"/>
      <c r="R53" s="340"/>
    </row>
    <row r="54" spans="2:18">
      <c r="B54" t="s">
        <v>219</v>
      </c>
      <c r="C54" t="s">
        <v>220</v>
      </c>
      <c r="D54" t="s">
        <v>174</v>
      </c>
      <c r="E54" t="s">
        <v>107</v>
      </c>
      <c r="F54" s="340"/>
      <c r="G54" s="340"/>
      <c r="H54" s="340"/>
      <c r="I54" s="340"/>
      <c r="J54" s="340"/>
      <c r="K54" s="340"/>
      <c r="L54" s="340"/>
      <c r="M54" s="340"/>
      <c r="N54" s="340"/>
      <c r="O54" s="340"/>
      <c r="P54" s="340"/>
      <c r="Q54" s="340"/>
      <c r="R54" s="340"/>
    </row>
    <row r="55" spans="2:18">
      <c r="B55" t="s">
        <v>221</v>
      </c>
      <c r="C55" t="s">
        <v>222</v>
      </c>
      <c r="D55" t="s">
        <v>174</v>
      </c>
      <c r="E55" t="s">
        <v>107</v>
      </c>
      <c r="F55" s="349"/>
      <c r="G55" s="349"/>
      <c r="H55" s="349"/>
      <c r="I55" s="349"/>
      <c r="J55" s="349"/>
      <c r="K55" s="349"/>
      <c r="L55" s="349"/>
      <c r="M55" s="349"/>
      <c r="N55" s="349"/>
      <c r="O55" s="349"/>
      <c r="P55" s="349"/>
      <c r="Q55" s="349"/>
      <c r="R55" s="349"/>
    </row>
    <row r="56" spans="2:18">
      <c r="B56" t="s">
        <v>223</v>
      </c>
      <c r="C56" t="s">
        <v>224</v>
      </c>
      <c r="D56" t="s">
        <v>174</v>
      </c>
      <c r="E56" t="s">
        <v>107</v>
      </c>
      <c r="F56" s="350"/>
      <c r="G56" s="350"/>
      <c r="H56" s="350"/>
      <c r="I56" s="350"/>
      <c r="J56" s="350"/>
      <c r="K56" s="350"/>
      <c r="L56" s="350"/>
      <c r="M56" s="350"/>
      <c r="N56" s="350"/>
      <c r="O56" s="350"/>
      <c r="P56" s="350"/>
      <c r="Q56" s="350"/>
      <c r="R56" s="3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98"/>
  <sheetViews>
    <sheetView zoomScale="80" zoomScaleNormal="80" workbookViewId="0">
      <pane xSplit="5" ySplit="2" topLeftCell="F27" activePane="bottomRight" state="frozen"/>
      <selection pane="bottomRight" activeCell="F29" sqref="F29"/>
      <selection pane="bottomLeft" activeCell="A3" sqref="A3"/>
      <selection pane="topRight" activeCell="F1" sqref="F1"/>
    </sheetView>
  </sheetViews>
  <sheetFormatPr defaultRowHeight="12.75"/>
  <cols>
    <col min="1" max="1" width="10.140625" bestFit="1" customWidth="1"/>
    <col min="2" max="2" width="18" customWidth="1"/>
    <col min="3" max="3" width="42.42578125" customWidth="1"/>
    <col min="4" max="4" width="4.140625" customWidth="1"/>
    <col min="5" max="5" width="18.85546875" customWidth="1"/>
    <col min="6" max="6" width="16.5703125" bestFit="1" customWidth="1"/>
    <col min="7" max="11" width="9.42578125" bestFit="1" customWidth="1"/>
  </cols>
  <sheetData>
    <row r="1" spans="1:11">
      <c r="C1" t="s">
        <v>225</v>
      </c>
    </row>
    <row r="2" spans="1:11">
      <c r="A2" t="s">
        <v>102</v>
      </c>
      <c r="B2" t="s">
        <v>103</v>
      </c>
      <c r="C2" t="s">
        <v>104</v>
      </c>
      <c r="D2" t="s">
        <v>105</v>
      </c>
      <c r="E2" t="s">
        <v>106</v>
      </c>
      <c r="F2" s="321" t="s">
        <v>122</v>
      </c>
      <c r="G2" t="s">
        <v>119</v>
      </c>
      <c r="H2" t="s">
        <v>226</v>
      </c>
      <c r="I2" t="s">
        <v>227</v>
      </c>
      <c r="J2" t="s">
        <v>228</v>
      </c>
      <c r="K2" t="s">
        <v>229</v>
      </c>
    </row>
    <row r="4" spans="1:11">
      <c r="B4" s="3" t="s">
        <v>230</v>
      </c>
      <c r="C4" s="3" t="s">
        <v>231</v>
      </c>
      <c r="D4" s="3" t="s">
        <v>125</v>
      </c>
      <c r="E4" s="3" t="s">
        <v>107</v>
      </c>
      <c r="F4" s="371">
        <f>Inputs!$F$13</f>
        <v>41000</v>
      </c>
      <c r="G4" s="372"/>
      <c r="H4" s="372"/>
      <c r="I4" s="372"/>
      <c r="J4" s="372"/>
      <c r="K4" s="372"/>
    </row>
    <row r="5" spans="1:11">
      <c r="B5" s="3" t="s">
        <v>232</v>
      </c>
      <c r="C5" s="3" t="s">
        <v>233</v>
      </c>
      <c r="D5" s="3" t="s">
        <v>125</v>
      </c>
      <c r="E5" s="3" t="s">
        <v>107</v>
      </c>
      <c r="F5" s="371">
        <f>Inputs!$F$16</f>
        <v>2013</v>
      </c>
      <c r="G5" s="372"/>
      <c r="H5" s="372"/>
      <c r="I5" s="372"/>
      <c r="J5" s="372"/>
      <c r="K5" s="372"/>
    </row>
    <row r="6" spans="1:11">
      <c r="B6" s="3" t="s">
        <v>234</v>
      </c>
      <c r="C6" s="3" t="s">
        <v>235</v>
      </c>
      <c r="D6" s="3" t="s">
        <v>125</v>
      </c>
      <c r="E6" s="3" t="s">
        <v>107</v>
      </c>
      <c r="F6" s="371">
        <f>Inputs!$F$17</f>
        <v>3</v>
      </c>
      <c r="G6" s="372"/>
      <c r="H6" s="372"/>
      <c r="I6" s="372"/>
      <c r="J6" s="372"/>
      <c r="K6" s="372"/>
    </row>
    <row r="7" spans="1:11">
      <c r="B7" s="3" t="s">
        <v>236</v>
      </c>
      <c r="C7" s="3" t="s">
        <v>237</v>
      </c>
      <c r="D7" s="3" t="s">
        <v>238</v>
      </c>
      <c r="E7" s="3" t="s">
        <v>107</v>
      </c>
      <c r="F7" s="335" t="str">
        <f>Inputs!$F$20</f>
        <v>Pre-Fcst</v>
      </c>
    </row>
    <row r="8" spans="1:11">
      <c r="B8" s="3" t="s">
        <v>239</v>
      </c>
      <c r="C8" s="3" t="s">
        <v>240</v>
      </c>
      <c r="D8" s="3" t="s">
        <v>238</v>
      </c>
      <c r="E8" s="3" t="s">
        <v>107</v>
      </c>
      <c r="F8" s="335" t="str">
        <f>Inputs!$F$21</f>
        <v>Forecast</v>
      </c>
    </row>
    <row r="9" spans="1:11">
      <c r="B9" s="3" t="s">
        <v>241</v>
      </c>
      <c r="C9" s="3" t="s">
        <v>242</v>
      </c>
      <c r="D9" s="3" t="s">
        <v>238</v>
      </c>
      <c r="E9" s="3" t="s">
        <v>107</v>
      </c>
      <c r="F9" s="335" t="str">
        <f>Inputs!$F$22</f>
        <v>Post-Fcst</v>
      </c>
    </row>
    <row r="10" spans="1:11">
      <c r="B10" s="3" t="s">
        <v>243</v>
      </c>
      <c r="C10" s="3" t="s">
        <v>244</v>
      </c>
      <c r="D10" s="3" t="s">
        <v>125</v>
      </c>
      <c r="E10" s="3" t="s">
        <v>107</v>
      </c>
      <c r="F10" s="371">
        <f>Inputs!$F$26</f>
        <v>43922</v>
      </c>
      <c r="G10" s="372"/>
      <c r="H10" s="372"/>
      <c r="I10" s="372"/>
      <c r="J10" s="372"/>
      <c r="K10" s="372"/>
    </row>
    <row r="11" spans="1:11">
      <c r="B11" s="3" t="s">
        <v>245</v>
      </c>
      <c r="C11" s="3" t="s">
        <v>246</v>
      </c>
      <c r="D11" s="3" t="s">
        <v>125</v>
      </c>
      <c r="E11" s="3" t="s">
        <v>107</v>
      </c>
      <c r="F11" s="371">
        <f>Inputs!$F$27</f>
        <v>5</v>
      </c>
      <c r="G11" s="372"/>
      <c r="H11" s="372"/>
      <c r="I11" s="372"/>
      <c r="J11" s="372"/>
      <c r="K11" s="372"/>
    </row>
    <row r="12" spans="1:11">
      <c r="B12" s="3" t="s">
        <v>247</v>
      </c>
      <c r="C12" s="3" t="s">
        <v>248</v>
      </c>
      <c r="D12" s="3" t="s">
        <v>238</v>
      </c>
      <c r="E12" s="3" t="s">
        <v>107</v>
      </c>
      <c r="F12" s="335" t="str">
        <f>Inputs!$F$28</f>
        <v>2020-25</v>
      </c>
    </row>
    <row r="13" spans="1:11">
      <c r="B13" s="3" t="s">
        <v>249</v>
      </c>
      <c r="C13" s="3" t="s">
        <v>250</v>
      </c>
      <c r="D13" s="3" t="s">
        <v>125</v>
      </c>
      <c r="E13" s="3" t="s">
        <v>107</v>
      </c>
      <c r="F13" s="371">
        <f>Inputs!F69</f>
        <v>2013</v>
      </c>
      <c r="G13" s="372"/>
      <c r="H13" s="372"/>
      <c r="I13" s="372"/>
      <c r="J13" s="372"/>
      <c r="K13" s="372"/>
    </row>
    <row r="14" spans="1:11">
      <c r="B14" s="3" t="s">
        <v>251</v>
      </c>
      <c r="C14" s="3" t="s">
        <v>252</v>
      </c>
      <c r="D14" s="3" t="s">
        <v>125</v>
      </c>
      <c r="E14" s="3" t="s">
        <v>107</v>
      </c>
      <c r="F14" s="371">
        <f>Inputs!F70</f>
        <v>2018</v>
      </c>
      <c r="G14" s="372"/>
      <c r="H14" s="372"/>
      <c r="I14" s="372"/>
      <c r="J14" s="372"/>
      <c r="K14" s="372"/>
    </row>
    <row r="15" spans="1:11">
      <c r="B15" s="3" t="s">
        <v>253</v>
      </c>
      <c r="C15" s="3" t="s">
        <v>254</v>
      </c>
      <c r="D15" s="3" t="s">
        <v>125</v>
      </c>
      <c r="E15" s="3" t="s">
        <v>107</v>
      </c>
      <c r="F15" s="371">
        <f>Inputs!F71</f>
        <v>2020</v>
      </c>
      <c r="G15" s="372"/>
      <c r="H15" s="372"/>
      <c r="I15" s="372"/>
      <c r="J15" s="372"/>
      <c r="K15" s="372"/>
    </row>
    <row r="16" spans="1:11">
      <c r="B16" s="3" t="s">
        <v>255</v>
      </c>
      <c r="C16" s="3" t="s">
        <v>256</v>
      </c>
      <c r="D16" s="3" t="s">
        <v>125</v>
      </c>
      <c r="E16" s="3" t="s">
        <v>107</v>
      </c>
      <c r="F16" s="371">
        <f>Inputs!F72</f>
        <v>2019</v>
      </c>
      <c r="G16" s="372"/>
      <c r="H16" s="372"/>
      <c r="I16" s="372"/>
      <c r="J16" s="372"/>
      <c r="K16" s="372"/>
    </row>
    <row r="17" spans="1:11">
      <c r="B17" s="3" t="s">
        <v>257</v>
      </c>
      <c r="C17" s="3" t="s">
        <v>258</v>
      </c>
      <c r="D17" s="3" t="s">
        <v>125</v>
      </c>
      <c r="E17" s="3" t="s">
        <v>107</v>
      </c>
      <c r="F17" s="371">
        <f>Inputs!F73</f>
        <v>2020</v>
      </c>
      <c r="G17" s="372"/>
      <c r="H17" s="372"/>
      <c r="I17" s="372"/>
      <c r="J17" s="372"/>
      <c r="K17" s="372"/>
    </row>
    <row r="18" spans="1:11">
      <c r="B18" s="3" t="s">
        <v>259</v>
      </c>
      <c r="C18" s="3" t="s">
        <v>260</v>
      </c>
      <c r="D18" s="3" t="s">
        <v>125</v>
      </c>
      <c r="E18" s="3" t="s">
        <v>107</v>
      </c>
      <c r="F18" s="371">
        <f>Inputs!F77</f>
        <v>2020</v>
      </c>
      <c r="G18" s="372"/>
      <c r="H18" s="372"/>
      <c r="I18" s="372"/>
      <c r="J18" s="372"/>
      <c r="K18" s="372"/>
    </row>
    <row r="19" spans="1:11">
      <c r="B19" s="3" t="s">
        <v>261</v>
      </c>
      <c r="C19" s="3" t="s">
        <v>262</v>
      </c>
      <c r="D19" s="3" t="s">
        <v>125</v>
      </c>
      <c r="E19" s="3" t="s">
        <v>107</v>
      </c>
      <c r="F19" s="371">
        <f>Inputs!F78</f>
        <v>2018</v>
      </c>
      <c r="G19" s="372"/>
      <c r="H19" s="372"/>
      <c r="I19" s="372"/>
      <c r="J19" s="372"/>
      <c r="K19" s="372"/>
    </row>
    <row r="20" spans="1:11">
      <c r="B20" s="3" t="s">
        <v>263</v>
      </c>
      <c r="C20" s="3" t="s">
        <v>264</v>
      </c>
      <c r="D20" s="3" t="s">
        <v>125</v>
      </c>
      <c r="E20" s="3" t="s">
        <v>107</v>
      </c>
      <c r="F20" s="371">
        <f>Inputs!F159</f>
        <v>12</v>
      </c>
      <c r="G20" s="372"/>
      <c r="H20" s="372"/>
      <c r="I20" s="372"/>
      <c r="J20" s="372"/>
      <c r="K20" s="372"/>
    </row>
    <row r="21" spans="1:11">
      <c r="B21" s="3" t="s">
        <v>265</v>
      </c>
      <c r="C21" s="3" t="s">
        <v>266</v>
      </c>
      <c r="D21" s="3" t="s">
        <v>125</v>
      </c>
      <c r="E21" s="3" t="s">
        <v>107</v>
      </c>
      <c r="F21" s="371">
        <f>Inputs!F161</f>
        <v>12</v>
      </c>
      <c r="G21" s="372"/>
      <c r="H21" s="372"/>
      <c r="I21" s="372"/>
      <c r="J21" s="372"/>
      <c r="K21" s="372"/>
    </row>
    <row r="22" spans="1:11">
      <c r="B22" s="3" t="s">
        <v>267</v>
      </c>
      <c r="C22" s="3" t="s">
        <v>268</v>
      </c>
      <c r="D22" s="3" t="s">
        <v>125</v>
      </c>
      <c r="E22" s="3" t="s">
        <v>107</v>
      </c>
      <c r="F22" s="371">
        <f>Inputs!F163</f>
        <v>365</v>
      </c>
      <c r="G22" s="372"/>
      <c r="H22" s="372"/>
      <c r="I22" s="372"/>
      <c r="J22" s="372"/>
      <c r="K22" s="372"/>
    </row>
    <row r="23" spans="1:11">
      <c r="A23" s="358"/>
      <c r="B23" s="361" t="s">
        <v>269</v>
      </c>
      <c r="C23" s="358" t="s">
        <v>270</v>
      </c>
      <c r="D23" s="3" t="s">
        <v>238</v>
      </c>
      <c r="E23" s="3" t="s">
        <v>107</v>
      </c>
      <c r="F23" s="358">
        <f>Inputs!F134</f>
        <v>44286</v>
      </c>
      <c r="G23" s="335"/>
      <c r="H23" s="335"/>
      <c r="I23" s="335"/>
      <c r="J23" s="335"/>
      <c r="K23" s="335"/>
    </row>
    <row r="24" spans="1:11">
      <c r="A24" s="358"/>
      <c r="B24" s="361" t="s">
        <v>271</v>
      </c>
      <c r="C24" s="358" t="s">
        <v>272</v>
      </c>
      <c r="D24" s="3" t="s">
        <v>273</v>
      </c>
      <c r="E24" s="3" t="s">
        <v>107</v>
      </c>
      <c r="F24" s="359">
        <f>Inputs!F136</f>
        <v>3.09E-2</v>
      </c>
      <c r="G24" s="373"/>
      <c r="H24" s="373"/>
      <c r="I24" s="373"/>
      <c r="J24" s="373"/>
      <c r="K24" s="373"/>
    </row>
    <row r="25" spans="1:11">
      <c r="A25" s="358"/>
      <c r="B25" s="361" t="s">
        <v>274</v>
      </c>
      <c r="C25" s="358" t="s">
        <v>275</v>
      </c>
      <c r="D25" s="3" t="s">
        <v>273</v>
      </c>
      <c r="E25" s="3" t="s">
        <v>107</v>
      </c>
      <c r="F25" s="359">
        <f>Inputs!F137</f>
        <v>3.09E-2</v>
      </c>
      <c r="G25" s="373"/>
      <c r="H25" s="373"/>
      <c r="I25" s="373"/>
      <c r="J25" s="373"/>
      <c r="K25" s="373"/>
    </row>
    <row r="26" spans="1:11">
      <c r="A26" s="358"/>
      <c r="B26" s="361" t="s">
        <v>276</v>
      </c>
      <c r="C26" s="358" t="s">
        <v>277</v>
      </c>
      <c r="D26" s="3" t="s">
        <v>273</v>
      </c>
      <c r="E26" s="3" t="s">
        <v>107</v>
      </c>
      <c r="F26" s="359">
        <f>Inputs!F138</f>
        <v>3.09E-2</v>
      </c>
      <c r="G26" s="373"/>
      <c r="H26" s="373"/>
      <c r="I26" s="373"/>
      <c r="J26" s="373"/>
      <c r="K26" s="373"/>
    </row>
    <row r="27" spans="1:11">
      <c r="A27" s="358"/>
      <c r="B27" s="361" t="s">
        <v>278</v>
      </c>
      <c r="C27" s="358" t="s">
        <v>279</v>
      </c>
      <c r="D27" s="3" t="s">
        <v>273</v>
      </c>
      <c r="E27" s="3" t="s">
        <v>107</v>
      </c>
      <c r="F27" s="359">
        <f>Inputs!F139</f>
        <v>3.09E-2</v>
      </c>
      <c r="G27" s="373"/>
      <c r="H27" s="373"/>
      <c r="I27" s="373"/>
      <c r="J27" s="373"/>
      <c r="K27" s="373"/>
    </row>
    <row r="28" spans="1:11">
      <c r="A28" s="358"/>
      <c r="B28" s="361" t="s">
        <v>280</v>
      </c>
      <c r="C28" s="358" t="s">
        <v>281</v>
      </c>
      <c r="D28" s="3" t="s">
        <v>273</v>
      </c>
      <c r="E28" s="3" t="s">
        <v>107</v>
      </c>
      <c r="F28" s="359">
        <f>Inputs!F140</f>
        <v>3.09E-2</v>
      </c>
      <c r="G28" s="373"/>
      <c r="H28" s="373"/>
      <c r="I28" s="373"/>
      <c r="J28" s="373"/>
      <c r="K28" s="373"/>
    </row>
    <row r="29" spans="1:11">
      <c r="A29" s="358"/>
      <c r="B29" s="361" t="s">
        <v>282</v>
      </c>
      <c r="C29" s="358" t="s">
        <v>283</v>
      </c>
      <c r="D29" s="3" t="s">
        <v>273</v>
      </c>
      <c r="E29" s="3" t="s">
        <v>107</v>
      </c>
      <c r="F29" s="359">
        <f>Inputs!F141</f>
        <v>3.09E-2</v>
      </c>
      <c r="G29" s="373"/>
      <c r="H29" s="373"/>
      <c r="I29" s="373"/>
      <c r="J29" s="373"/>
      <c r="K29" s="373"/>
    </row>
    <row r="30" spans="1:11">
      <c r="A30" s="358"/>
      <c r="B30" s="361" t="s">
        <v>284</v>
      </c>
      <c r="C30" s="358" t="s">
        <v>285</v>
      </c>
      <c r="D30" s="3" t="s">
        <v>273</v>
      </c>
      <c r="E30" s="3" t="s">
        <v>107</v>
      </c>
      <c r="F30" s="359">
        <f>Inputs!F142</f>
        <v>3.09E-2</v>
      </c>
      <c r="G30" s="373"/>
      <c r="H30" s="373"/>
      <c r="I30" s="373"/>
      <c r="J30" s="373"/>
      <c r="K30" s="373"/>
    </row>
    <row r="31" spans="1:11" s="335" customFormat="1">
      <c r="A31" s="358"/>
      <c r="B31" s="361" t="s">
        <v>286</v>
      </c>
      <c r="C31" s="358" t="s">
        <v>287</v>
      </c>
      <c r="D31" s="361" t="s">
        <v>125</v>
      </c>
      <c r="E31" s="3" t="s">
        <v>107</v>
      </c>
      <c r="F31" s="374">
        <f>Inputs!F144</f>
        <v>5</v>
      </c>
      <c r="G31" s="371"/>
      <c r="H31" s="371"/>
      <c r="I31" s="371"/>
      <c r="J31" s="371"/>
      <c r="K31" s="371"/>
    </row>
    <row r="32" spans="1:11" s="335" customFormat="1">
      <c r="A32" s="358"/>
      <c r="B32" s="361" t="s">
        <v>288</v>
      </c>
      <c r="C32" s="358" t="s">
        <v>289</v>
      </c>
      <c r="D32" s="361" t="s">
        <v>125</v>
      </c>
      <c r="E32" s="3" t="s">
        <v>107</v>
      </c>
      <c r="F32" s="374">
        <f>Inputs!F148</f>
        <v>2</v>
      </c>
      <c r="G32" s="371"/>
      <c r="H32" s="371"/>
      <c r="I32" s="371"/>
      <c r="J32" s="371"/>
      <c r="K32" s="371"/>
    </row>
    <row r="33" spans="1:11" s="335" customFormat="1">
      <c r="A33" s="358"/>
      <c r="B33" s="361" t="s">
        <v>290</v>
      </c>
      <c r="C33" s="358" t="s">
        <v>291</v>
      </c>
      <c r="D33" s="361" t="s">
        <v>125</v>
      </c>
      <c r="E33" s="3" t="s">
        <v>107</v>
      </c>
      <c r="F33" s="374">
        <f>Inputs!F149</f>
        <v>2</v>
      </c>
      <c r="G33" s="371"/>
      <c r="H33" s="371"/>
      <c r="I33" s="371"/>
      <c r="J33" s="371"/>
      <c r="K33" s="371"/>
    </row>
    <row r="34" spans="1:11" s="335" customFormat="1">
      <c r="A34" s="358"/>
      <c r="B34" s="361" t="s">
        <v>292</v>
      </c>
      <c r="C34" s="358" t="s">
        <v>293</v>
      </c>
      <c r="D34" s="361" t="s">
        <v>125</v>
      </c>
      <c r="E34" s="3" t="s">
        <v>107</v>
      </c>
      <c r="F34" s="374">
        <f>Inputs!F150</f>
        <v>0</v>
      </c>
      <c r="G34" s="371"/>
      <c r="H34" s="371"/>
      <c r="I34" s="371"/>
      <c r="J34" s="371"/>
      <c r="K34" s="371"/>
    </row>
    <row r="35" spans="1:11" s="335" customFormat="1">
      <c r="A35" s="358"/>
      <c r="B35" s="361" t="s">
        <v>294</v>
      </c>
      <c r="C35" s="358" t="s">
        <v>295</v>
      </c>
      <c r="D35" s="361" t="s">
        <v>125</v>
      </c>
      <c r="E35" s="3" t="s">
        <v>107</v>
      </c>
      <c r="F35" s="374">
        <f>Inputs!F151</f>
        <v>0</v>
      </c>
      <c r="G35" s="371"/>
      <c r="H35" s="371"/>
      <c r="I35" s="371"/>
      <c r="J35" s="371"/>
      <c r="K35" s="371"/>
    </row>
    <row r="36" spans="1:11" s="335" customFormat="1">
      <c r="A36" s="358"/>
      <c r="B36" s="361" t="s">
        <v>296</v>
      </c>
      <c r="C36" s="358" t="s">
        <v>297</v>
      </c>
      <c r="D36" s="361" t="s">
        <v>125</v>
      </c>
      <c r="E36" s="3" t="s">
        <v>107</v>
      </c>
      <c r="F36" s="374">
        <f>Inputs!F152</f>
        <v>0</v>
      </c>
      <c r="G36" s="371"/>
      <c r="H36" s="371"/>
      <c r="I36" s="371"/>
      <c r="J36" s="371"/>
      <c r="K36" s="371"/>
    </row>
    <row r="37" spans="1:11" s="335" customFormat="1">
      <c r="A37" s="358"/>
      <c r="B37" s="361" t="s">
        <v>298</v>
      </c>
      <c r="C37" s="358" t="s">
        <v>299</v>
      </c>
      <c r="D37" s="361" t="s">
        <v>125</v>
      </c>
      <c r="E37" s="3" t="s">
        <v>107</v>
      </c>
      <c r="F37" s="374">
        <f>Inputs!F153</f>
        <v>2</v>
      </c>
      <c r="G37" s="371"/>
      <c r="H37" s="371"/>
      <c r="I37" s="371"/>
      <c r="J37" s="371"/>
      <c r="K37" s="371"/>
    </row>
    <row r="38" spans="1:11" s="335" customFormat="1">
      <c r="A38" s="358"/>
      <c r="B38" s="361" t="s">
        <v>300</v>
      </c>
      <c r="C38" s="358" t="s">
        <v>301</v>
      </c>
      <c r="D38" s="361" t="s">
        <v>125</v>
      </c>
      <c r="E38" s="3" t="s">
        <v>107</v>
      </c>
      <c r="F38" s="374">
        <f>Inputs!F154</f>
        <v>0</v>
      </c>
      <c r="G38" s="371"/>
      <c r="H38" s="371"/>
      <c r="I38" s="371"/>
      <c r="J38" s="371"/>
      <c r="K38" s="371"/>
    </row>
    <row r="39" spans="1:11" s="335" customFormat="1">
      <c r="A39" s="358"/>
      <c r="B39" s="361" t="s">
        <v>302</v>
      </c>
      <c r="C39" s="361" t="s">
        <v>303</v>
      </c>
      <c r="D39" s="361" t="s">
        <v>174</v>
      </c>
      <c r="E39" s="3" t="s">
        <v>107</v>
      </c>
      <c r="F39" s="360">
        <f>Summary_Output!$F10</f>
        <v>0.99927639045034722</v>
      </c>
      <c r="G39" s="370"/>
      <c r="H39" s="370"/>
      <c r="I39" s="370"/>
      <c r="J39" s="370"/>
      <c r="K39" s="370"/>
    </row>
    <row r="40" spans="1:11" s="335" customFormat="1">
      <c r="A40" s="358"/>
      <c r="B40" s="361" t="s">
        <v>304</v>
      </c>
      <c r="C40" s="361" t="s">
        <v>305</v>
      </c>
      <c r="D40" s="361" t="s">
        <v>174</v>
      </c>
      <c r="E40" s="3" t="s">
        <v>107</v>
      </c>
      <c r="F40" s="360">
        <f>Summary_Output!$F11</f>
        <v>0</v>
      </c>
      <c r="G40" s="370"/>
      <c r="H40" s="370"/>
      <c r="I40" s="370"/>
      <c r="J40" s="370"/>
      <c r="K40" s="370"/>
    </row>
    <row r="41" spans="1:11" s="335" customFormat="1">
      <c r="A41" s="358"/>
      <c r="B41" s="361" t="s">
        <v>306</v>
      </c>
      <c r="C41" s="361" t="s">
        <v>307</v>
      </c>
      <c r="D41" s="361" t="s">
        <v>174</v>
      </c>
      <c r="E41" s="3" t="s">
        <v>107</v>
      </c>
      <c r="F41" s="360">
        <f>Summary_Output!$F14</f>
        <v>0</v>
      </c>
      <c r="G41" s="370"/>
      <c r="H41" s="370"/>
      <c r="I41" s="370"/>
      <c r="J41" s="370"/>
      <c r="K41" s="370"/>
    </row>
    <row r="42" spans="1:11" s="335" customFormat="1">
      <c r="A42" s="358"/>
      <c r="B42" s="361" t="s">
        <v>308</v>
      </c>
      <c r="C42" s="361" t="s">
        <v>309</v>
      </c>
      <c r="D42" s="361" t="s">
        <v>174</v>
      </c>
      <c r="E42" s="3" t="s">
        <v>107</v>
      </c>
      <c r="F42" s="360">
        <f>Summary_Output!$F15</f>
        <v>0</v>
      </c>
      <c r="G42" s="370"/>
      <c r="H42" s="370"/>
      <c r="I42" s="370"/>
      <c r="J42" s="370"/>
      <c r="K42" s="370"/>
    </row>
    <row r="43" spans="1:11" s="335" customFormat="1">
      <c r="A43" s="358"/>
      <c r="B43" s="361" t="s">
        <v>310</v>
      </c>
      <c r="C43" s="361" t="s">
        <v>311</v>
      </c>
      <c r="D43" s="361" t="s">
        <v>174</v>
      </c>
      <c r="E43" s="3" t="s">
        <v>107</v>
      </c>
      <c r="F43" s="360">
        <f>Summary_Output!$F16</f>
        <v>0</v>
      </c>
      <c r="G43" s="370"/>
      <c r="H43" s="370"/>
      <c r="I43" s="370"/>
      <c r="J43" s="370"/>
      <c r="K43" s="370"/>
    </row>
    <row r="44" spans="1:11" s="335" customFormat="1">
      <c r="A44" s="358"/>
      <c r="B44" s="361" t="s">
        <v>312</v>
      </c>
      <c r="C44" s="361" t="s">
        <v>313</v>
      </c>
      <c r="D44" s="361" t="s">
        <v>174</v>
      </c>
      <c r="E44" s="3" t="s">
        <v>107</v>
      </c>
      <c r="F44" s="360">
        <f>Summary_Output!$F17</f>
        <v>0</v>
      </c>
      <c r="G44" s="370"/>
      <c r="H44" s="370"/>
      <c r="I44" s="370"/>
      <c r="J44" s="370"/>
      <c r="K44" s="370"/>
    </row>
    <row r="45" spans="1:11" s="335" customFormat="1">
      <c r="A45" s="358"/>
      <c r="B45" s="361" t="s">
        <v>314</v>
      </c>
      <c r="C45" s="361" t="s">
        <v>315</v>
      </c>
      <c r="D45" s="361" t="s">
        <v>174</v>
      </c>
      <c r="E45" s="3" t="s">
        <v>107</v>
      </c>
      <c r="F45" s="360">
        <f>Summary_Output!$F18</f>
        <v>0</v>
      </c>
      <c r="G45" s="370"/>
      <c r="H45" s="370"/>
      <c r="I45" s="370"/>
      <c r="J45" s="370"/>
      <c r="K45" s="370"/>
    </row>
    <row r="46" spans="1:11" s="335" customFormat="1">
      <c r="A46" s="358"/>
      <c r="B46" s="361" t="s">
        <v>316</v>
      </c>
      <c r="C46" s="361" t="s">
        <v>317</v>
      </c>
      <c r="D46" s="361" t="s">
        <v>174</v>
      </c>
      <c r="E46" s="3" t="s">
        <v>107</v>
      </c>
      <c r="F46" s="360">
        <f>Summary_Output!$F19</f>
        <v>0</v>
      </c>
      <c r="G46" s="370"/>
      <c r="H46" s="370"/>
      <c r="I46" s="370"/>
      <c r="J46" s="370"/>
      <c r="K46" s="370"/>
    </row>
    <row r="47" spans="1:11" s="335" customFormat="1">
      <c r="A47" s="358"/>
      <c r="B47" s="361" t="s">
        <v>318</v>
      </c>
      <c r="C47" s="361" t="s">
        <v>319</v>
      </c>
      <c r="D47" s="361" t="s">
        <v>174</v>
      </c>
      <c r="E47" s="3" t="s">
        <v>107</v>
      </c>
      <c r="F47" s="360">
        <f>Summary_Output!$F21</f>
        <v>1.4552389089808715</v>
      </c>
      <c r="G47" s="370"/>
      <c r="H47" s="370"/>
      <c r="I47" s="370"/>
      <c r="J47" s="370"/>
      <c r="K47" s="370"/>
    </row>
    <row r="48" spans="1:11" s="335" customFormat="1">
      <c r="A48" s="358"/>
      <c r="B48" s="361" t="s">
        <v>320</v>
      </c>
      <c r="C48" s="361" t="s">
        <v>321</v>
      </c>
      <c r="D48" s="361" t="s">
        <v>174</v>
      </c>
      <c r="E48" s="3" t="s">
        <v>107</v>
      </c>
      <c r="F48" s="360">
        <f>Summary_Output!$F22</f>
        <v>-14.852639963519394</v>
      </c>
      <c r="G48" s="370"/>
      <c r="H48" s="370"/>
      <c r="I48" s="370"/>
      <c r="J48" s="370"/>
      <c r="K48" s="370"/>
    </row>
    <row r="49" spans="1:11" s="335" customFormat="1">
      <c r="A49" s="358"/>
      <c r="B49" s="361" t="s">
        <v>322</v>
      </c>
      <c r="C49" s="361" t="s">
        <v>323</v>
      </c>
      <c r="D49" s="361" t="s">
        <v>174</v>
      </c>
      <c r="E49" s="3" t="s">
        <v>107</v>
      </c>
      <c r="F49" s="360">
        <f>Summary_Output!$F23</f>
        <v>0</v>
      </c>
      <c r="G49" s="370"/>
      <c r="H49" s="370"/>
      <c r="I49" s="370"/>
      <c r="J49" s="370"/>
      <c r="K49" s="370"/>
    </row>
    <row r="50" spans="1:11" s="335" customFormat="1">
      <c r="A50" s="358"/>
      <c r="B50" s="361" t="s">
        <v>324</v>
      </c>
      <c r="C50" s="361" t="s">
        <v>325</v>
      </c>
      <c r="D50" s="361" t="s">
        <v>174</v>
      </c>
      <c r="E50" s="3" t="s">
        <v>107</v>
      </c>
      <c r="F50" s="360">
        <f>Summary_Output!$F24</f>
        <v>0</v>
      </c>
      <c r="G50" s="370"/>
      <c r="H50" s="370"/>
      <c r="I50" s="370"/>
      <c r="J50" s="370"/>
      <c r="K50" s="370"/>
    </row>
    <row r="51" spans="1:11" s="335" customFormat="1">
      <c r="A51" s="358"/>
      <c r="B51" s="361" t="s">
        <v>326</v>
      </c>
      <c r="C51" s="361" t="s">
        <v>327</v>
      </c>
      <c r="D51" s="361" t="s">
        <v>174</v>
      </c>
      <c r="E51" s="3" t="s">
        <v>107</v>
      </c>
      <c r="F51" s="360">
        <f>Summary_Output!$F25</f>
        <v>0</v>
      </c>
      <c r="G51" s="370"/>
      <c r="H51" s="370"/>
      <c r="I51" s="370"/>
      <c r="J51" s="370"/>
      <c r="K51" s="370"/>
    </row>
    <row r="52" spans="1:11" s="335" customFormat="1">
      <c r="A52" s="358"/>
      <c r="B52" s="361" t="s">
        <v>328</v>
      </c>
      <c r="C52" s="361" t="s">
        <v>329</v>
      </c>
      <c r="D52" s="361" t="s">
        <v>174</v>
      </c>
      <c r="E52" s="3" t="s">
        <v>107</v>
      </c>
      <c r="F52" s="360">
        <f>Summary_Output!$F26</f>
        <v>0</v>
      </c>
      <c r="G52" s="370"/>
      <c r="H52" s="370"/>
      <c r="I52" s="370"/>
      <c r="J52" s="370"/>
      <c r="K52" s="370"/>
    </row>
    <row r="53" spans="1:11" s="335" customFormat="1">
      <c r="A53" s="358"/>
      <c r="B53" s="361" t="s">
        <v>330</v>
      </c>
      <c r="C53" s="361" t="s">
        <v>331</v>
      </c>
      <c r="D53" s="361" t="s">
        <v>174</v>
      </c>
      <c r="E53" s="3" t="s">
        <v>107</v>
      </c>
      <c r="F53" s="360">
        <f>Summary_Output!$F29</f>
        <v>9.9800491455560447</v>
      </c>
      <c r="G53" s="370"/>
      <c r="H53" s="370"/>
      <c r="I53" s="370"/>
      <c r="J53" s="370"/>
      <c r="K53" s="370"/>
    </row>
    <row r="54" spans="1:11" s="335" customFormat="1">
      <c r="A54" s="358"/>
      <c r="B54" s="361" t="s">
        <v>332</v>
      </c>
      <c r="C54" s="361" t="s">
        <v>333</v>
      </c>
      <c r="D54" s="361" t="s">
        <v>174</v>
      </c>
      <c r="E54" s="3" t="s">
        <v>107</v>
      </c>
      <c r="F54" s="360">
        <f>Summary_Output!$F32</f>
        <v>-8.2827827230531809E-2</v>
      </c>
      <c r="G54" s="370"/>
      <c r="H54" s="370"/>
      <c r="I54" s="370"/>
      <c r="J54" s="370"/>
      <c r="K54" s="370"/>
    </row>
    <row r="55" spans="1:11" s="335" customFormat="1">
      <c r="A55" s="358"/>
      <c r="B55" s="361" t="s">
        <v>334</v>
      </c>
      <c r="C55" s="361" t="s">
        <v>335</v>
      </c>
      <c r="D55" s="361" t="s">
        <v>174</v>
      </c>
      <c r="E55" s="3" t="s">
        <v>107</v>
      </c>
      <c r="F55" s="360">
        <f>Summary_Output!$F35</f>
        <v>0</v>
      </c>
      <c r="G55" s="370"/>
      <c r="H55" s="370"/>
      <c r="I55" s="370"/>
      <c r="J55" s="370"/>
      <c r="K55" s="370"/>
    </row>
    <row r="56" spans="1:11" s="335" customFormat="1">
      <c r="A56" s="358"/>
      <c r="B56" s="361" t="s">
        <v>336</v>
      </c>
      <c r="C56" s="361" t="s">
        <v>337</v>
      </c>
      <c r="D56" s="361" t="s">
        <v>174</v>
      </c>
      <c r="E56" s="3" t="s">
        <v>107</v>
      </c>
      <c r="F56" s="360">
        <f>Summary_Output!$F36</f>
        <v>0</v>
      </c>
      <c r="G56" s="370"/>
      <c r="H56" s="370"/>
      <c r="I56" s="370"/>
      <c r="J56" s="370"/>
      <c r="K56" s="370"/>
    </row>
    <row r="57" spans="1:11" s="335" customFormat="1">
      <c r="A57" s="358"/>
      <c r="B57" s="361" t="s">
        <v>338</v>
      </c>
      <c r="C57" s="361" t="s">
        <v>339</v>
      </c>
      <c r="D57" s="361" t="s">
        <v>174</v>
      </c>
      <c r="E57" s="3" t="s">
        <v>107</v>
      </c>
      <c r="F57" s="360">
        <f>Summary_Output!$F37</f>
        <v>0</v>
      </c>
      <c r="G57" s="370"/>
      <c r="H57" s="370"/>
      <c r="I57" s="370"/>
      <c r="J57" s="370"/>
      <c r="K57" s="370"/>
    </row>
    <row r="58" spans="1:11" s="335" customFormat="1">
      <c r="A58" s="358"/>
      <c r="B58" s="361" t="s">
        <v>340</v>
      </c>
      <c r="C58" s="361" t="s">
        <v>341</v>
      </c>
      <c r="D58" s="361" t="s">
        <v>174</v>
      </c>
      <c r="E58" s="3" t="s">
        <v>107</v>
      </c>
      <c r="F58" s="360">
        <f>Summary_Output!$F38</f>
        <v>0</v>
      </c>
      <c r="G58" s="370"/>
      <c r="H58" s="370"/>
      <c r="I58" s="370"/>
      <c r="J58" s="370"/>
      <c r="K58" s="370"/>
    </row>
    <row r="59" spans="1:11" s="335" customFormat="1">
      <c r="A59" s="358"/>
      <c r="B59" s="361" t="s">
        <v>342</v>
      </c>
      <c r="C59" s="361" t="s">
        <v>343</v>
      </c>
      <c r="D59" s="361" t="s">
        <v>174</v>
      </c>
      <c r="E59" s="3" t="s">
        <v>107</v>
      </c>
      <c r="F59" s="360">
        <f>Summary_Output!$F41</f>
        <v>0</v>
      </c>
      <c r="G59" s="370"/>
      <c r="H59" s="370"/>
      <c r="I59" s="370"/>
      <c r="J59" s="370"/>
      <c r="K59" s="370"/>
    </row>
    <row r="60" spans="1:11" s="335" customFormat="1">
      <c r="A60" s="358"/>
      <c r="B60" s="361" t="s">
        <v>344</v>
      </c>
      <c r="C60" s="361" t="s">
        <v>345</v>
      </c>
      <c r="D60" s="361" t="s">
        <v>174</v>
      </c>
      <c r="E60" s="3" t="s">
        <v>107</v>
      </c>
      <c r="F60" s="360">
        <f>Summary_Output!$F44</f>
        <v>0</v>
      </c>
      <c r="G60" s="370"/>
      <c r="H60" s="370"/>
      <c r="I60" s="370"/>
      <c r="J60" s="370"/>
      <c r="K60" s="370"/>
    </row>
    <row r="61" spans="1:11" s="335" customFormat="1">
      <c r="A61" s="358"/>
      <c r="B61" s="361" t="s">
        <v>346</v>
      </c>
      <c r="C61" s="361" t="s">
        <v>347</v>
      </c>
      <c r="D61" s="361" t="s">
        <v>174</v>
      </c>
      <c r="E61" s="3" t="s">
        <v>107</v>
      </c>
      <c r="F61" s="360">
        <f>Summary_Output!$F47</f>
        <v>0</v>
      </c>
      <c r="G61" s="370"/>
      <c r="H61" s="370"/>
      <c r="I61" s="370"/>
      <c r="J61" s="370"/>
      <c r="K61" s="370"/>
    </row>
    <row r="62" spans="1:11" s="335" customFormat="1">
      <c r="A62" s="358"/>
      <c r="B62" s="361" t="s">
        <v>348</v>
      </c>
      <c r="C62" s="361" t="s">
        <v>349</v>
      </c>
      <c r="D62" s="361" t="s">
        <v>174</v>
      </c>
      <c r="E62" s="3" t="s">
        <v>107</v>
      </c>
      <c r="F62" s="360">
        <f>Summary_Output!$F50</f>
        <v>0</v>
      </c>
      <c r="G62" s="370"/>
      <c r="H62" s="370"/>
      <c r="I62" s="370"/>
      <c r="J62" s="370"/>
      <c r="K62" s="370"/>
    </row>
    <row r="63" spans="1:11" s="335" customFormat="1">
      <c r="A63" s="358"/>
      <c r="B63" s="361" t="s">
        <v>350</v>
      </c>
      <c r="C63" s="361" t="s">
        <v>351</v>
      </c>
      <c r="D63" s="361" t="s">
        <v>174</v>
      </c>
      <c r="E63" s="3" t="s">
        <v>107</v>
      </c>
      <c r="F63" s="360">
        <f>Summary_Output!$F53</f>
        <v>1.2824466300701431</v>
      </c>
      <c r="G63" s="370"/>
      <c r="H63" s="370"/>
      <c r="I63" s="370"/>
      <c r="J63" s="370"/>
      <c r="K63" s="370"/>
    </row>
    <row r="64" spans="1:11" s="335" customFormat="1">
      <c r="A64" s="358"/>
      <c r="B64" s="361" t="s">
        <v>352</v>
      </c>
      <c r="C64" s="361" t="s">
        <v>353</v>
      </c>
      <c r="D64" s="361" t="s">
        <v>174</v>
      </c>
      <c r="E64" s="3" t="s">
        <v>107</v>
      </c>
      <c r="F64" s="360">
        <f>Summary_Output!$F56</f>
        <v>-12.482017751848689</v>
      </c>
      <c r="G64" s="370"/>
      <c r="H64" s="370"/>
      <c r="I64" s="370"/>
      <c r="J64" s="370"/>
      <c r="K64" s="370"/>
    </row>
    <row r="65" spans="1:11" s="335" customFormat="1">
      <c r="A65" s="358"/>
      <c r="B65" s="361" t="s">
        <v>354</v>
      </c>
      <c r="C65" s="361" t="s">
        <v>355</v>
      </c>
      <c r="D65" s="361" t="s">
        <v>174</v>
      </c>
      <c r="E65" s="3" t="s">
        <v>107</v>
      </c>
      <c r="F65" s="360">
        <f>Summary_Output!$F61</f>
        <v>1.4552389089808715</v>
      </c>
      <c r="G65" s="370"/>
      <c r="H65" s="370"/>
      <c r="I65" s="370"/>
      <c r="J65" s="370"/>
      <c r="K65" s="370"/>
    </row>
    <row r="66" spans="1:11" s="335" customFormat="1">
      <c r="A66" s="358"/>
      <c r="B66" s="361" t="s">
        <v>356</v>
      </c>
      <c r="C66" s="361" t="s">
        <v>357</v>
      </c>
      <c r="D66" s="361" t="s">
        <v>174</v>
      </c>
      <c r="E66" s="3" t="s">
        <v>107</v>
      </c>
      <c r="F66" s="360">
        <f>Summary_Output!$F62</f>
        <v>-3.9561422547435328</v>
      </c>
      <c r="G66" s="370"/>
      <c r="H66" s="370"/>
      <c r="I66" s="370"/>
      <c r="J66" s="370"/>
      <c r="K66" s="370"/>
    </row>
    <row r="67" spans="1:11" s="335" customFormat="1">
      <c r="A67" s="358"/>
      <c r="B67" s="361" t="s">
        <v>358</v>
      </c>
      <c r="C67" s="361" t="s">
        <v>359</v>
      </c>
      <c r="D67" s="361" t="s">
        <v>174</v>
      </c>
      <c r="E67" s="3" t="s">
        <v>107</v>
      </c>
      <c r="F67" s="360">
        <f>Summary_Output!$F63</f>
        <v>0</v>
      </c>
      <c r="G67" s="370"/>
      <c r="H67" s="370"/>
      <c r="I67" s="370"/>
      <c r="J67" s="370"/>
      <c r="K67" s="370"/>
    </row>
    <row r="68" spans="1:11" s="335" customFormat="1">
      <c r="A68" s="358"/>
      <c r="B68" s="361" t="s">
        <v>360</v>
      </c>
      <c r="C68" s="361" t="s">
        <v>361</v>
      </c>
      <c r="D68" s="361" t="s">
        <v>174</v>
      </c>
      <c r="E68" s="3" t="s">
        <v>107</v>
      </c>
      <c r="F68" s="360">
        <f>Summary_Output!$F64</f>
        <v>0</v>
      </c>
      <c r="G68" s="370"/>
      <c r="H68" s="370"/>
      <c r="I68" s="370"/>
      <c r="J68" s="370"/>
      <c r="K68" s="370"/>
    </row>
    <row r="69" spans="1:11" s="335" customFormat="1">
      <c r="A69" s="358"/>
      <c r="B69" s="361" t="s">
        <v>362</v>
      </c>
      <c r="C69" s="361" t="s">
        <v>363</v>
      </c>
      <c r="D69" s="361" t="s">
        <v>174</v>
      </c>
      <c r="E69" s="3" t="s">
        <v>107</v>
      </c>
      <c r="F69" s="360">
        <f>Summary_Output!$F65</f>
        <v>0</v>
      </c>
      <c r="G69" s="370"/>
      <c r="H69" s="370"/>
      <c r="I69" s="370"/>
      <c r="J69" s="370"/>
      <c r="K69" s="370"/>
    </row>
    <row r="70" spans="1:11" s="335" customFormat="1">
      <c r="A70" s="358"/>
      <c r="B70" s="361" t="s">
        <v>364</v>
      </c>
      <c r="C70" s="361" t="s">
        <v>365</v>
      </c>
      <c r="D70" s="361" t="s">
        <v>174</v>
      </c>
      <c r="E70" s="3" t="s">
        <v>107</v>
      </c>
      <c r="F70" s="360">
        <f>Summary_Output!$F66</f>
        <v>-11.199571121778545</v>
      </c>
      <c r="G70" s="370"/>
      <c r="H70" s="370"/>
      <c r="I70" s="370"/>
      <c r="J70" s="370"/>
      <c r="K70" s="370"/>
    </row>
    <row r="71" spans="1:11" s="335" customFormat="1">
      <c r="A71" s="358"/>
      <c r="B71" s="361" t="s">
        <v>366</v>
      </c>
      <c r="C71" s="361" t="s">
        <v>367</v>
      </c>
      <c r="D71" s="361" t="s">
        <v>174</v>
      </c>
      <c r="E71" s="3" t="s">
        <v>107</v>
      </c>
      <c r="F71" s="360">
        <f>Summary_Output!$F67</f>
        <v>0</v>
      </c>
      <c r="G71" s="370"/>
      <c r="H71" s="370"/>
      <c r="I71" s="370"/>
      <c r="J71" s="370"/>
      <c r="K71" s="370"/>
    </row>
    <row r="72" spans="1:11" s="335" customFormat="1">
      <c r="A72" s="358"/>
      <c r="B72" s="361" t="s">
        <v>368</v>
      </c>
      <c r="C72" s="361" t="s">
        <v>369</v>
      </c>
      <c r="D72" s="361" t="s">
        <v>174</v>
      </c>
      <c r="E72" s="3" t="s">
        <v>107</v>
      </c>
      <c r="F72" s="370"/>
      <c r="G72" s="360">
        <f>Summary_Output!R72</f>
        <v>0.2910477817961743</v>
      </c>
      <c r="H72" s="360">
        <f>Summary_Output!S72</f>
        <v>0.30004115825367605</v>
      </c>
      <c r="I72" s="360">
        <f>Summary_Output!T72</f>
        <v>0.30931243004371467</v>
      </c>
      <c r="J72" s="360">
        <f>Summary_Output!U72</f>
        <v>0.31889677133216382</v>
      </c>
      <c r="K72" s="360">
        <f>Summary_Output!V72</f>
        <v>0.3287506815663277</v>
      </c>
    </row>
    <row r="73" spans="1:11" s="335" customFormat="1">
      <c r="A73" s="358"/>
      <c r="B73" s="361" t="s">
        <v>370</v>
      </c>
      <c r="C73" s="361" t="s">
        <v>371</v>
      </c>
      <c r="D73" s="361" t="s">
        <v>174</v>
      </c>
      <c r="E73" s="3" t="s">
        <v>107</v>
      </c>
      <c r="F73" s="370"/>
      <c r="G73" s="360">
        <f>Summary_Output!R73</f>
        <v>-0.79122845094870653</v>
      </c>
      <c r="H73" s="360">
        <f>Summary_Output!S73</f>
        <v>-0.81567741008302153</v>
      </c>
      <c r="I73" s="360">
        <f>Summary_Output!T73</f>
        <v>-0.84088184205458683</v>
      </c>
      <c r="J73" s="360">
        <f>Summary_Output!U73</f>
        <v>-0.86693736965291823</v>
      </c>
      <c r="K73" s="360">
        <f>Summary_Output!V73</f>
        <v>-0.89372573437519354</v>
      </c>
    </row>
    <row r="74" spans="1:11" s="335" customFormat="1">
      <c r="A74" s="358"/>
      <c r="B74" s="361" t="s">
        <v>372</v>
      </c>
      <c r="C74" s="361" t="s">
        <v>373</v>
      </c>
      <c r="D74" s="361" t="s">
        <v>174</v>
      </c>
      <c r="E74" s="3" t="s">
        <v>107</v>
      </c>
      <c r="F74" s="370"/>
      <c r="G74" s="360">
        <f>Summary_Output!R74</f>
        <v>0</v>
      </c>
      <c r="H74" s="360">
        <f>Summary_Output!S74</f>
        <v>0</v>
      </c>
      <c r="I74" s="360">
        <f>Summary_Output!T74</f>
        <v>0</v>
      </c>
      <c r="J74" s="360">
        <f>Summary_Output!U74</f>
        <v>0</v>
      </c>
      <c r="K74" s="360">
        <f>Summary_Output!V74</f>
        <v>0</v>
      </c>
    </row>
    <row r="75" spans="1:11" s="335" customFormat="1">
      <c r="A75" s="358"/>
      <c r="B75" s="361" t="s">
        <v>374</v>
      </c>
      <c r="C75" s="361" t="s">
        <v>375</v>
      </c>
      <c r="D75" s="361" t="s">
        <v>174</v>
      </c>
      <c r="E75" s="3" t="s">
        <v>107</v>
      </c>
      <c r="F75" s="370"/>
      <c r="G75" s="360">
        <f>Summary_Output!R75</f>
        <v>0</v>
      </c>
      <c r="H75" s="360">
        <f>Summary_Output!S75</f>
        <v>0</v>
      </c>
      <c r="I75" s="360">
        <f>Summary_Output!T75</f>
        <v>0</v>
      </c>
      <c r="J75" s="360">
        <f>Summary_Output!U75</f>
        <v>0</v>
      </c>
      <c r="K75" s="360">
        <f>Summary_Output!V75</f>
        <v>0</v>
      </c>
    </row>
    <row r="76" spans="1:11" s="335" customFormat="1">
      <c r="A76" s="358"/>
      <c r="B76" s="361" t="s">
        <v>376</v>
      </c>
      <c r="C76" s="361" t="s">
        <v>377</v>
      </c>
      <c r="D76" s="361" t="s">
        <v>174</v>
      </c>
      <c r="E76" s="3" t="s">
        <v>107</v>
      </c>
      <c r="F76" s="370"/>
      <c r="G76" s="360">
        <f>Summary_Output!R76</f>
        <v>0</v>
      </c>
      <c r="H76" s="360">
        <f>Summary_Output!S76</f>
        <v>0</v>
      </c>
      <c r="I76" s="360">
        <f>Summary_Output!T76</f>
        <v>0</v>
      </c>
      <c r="J76" s="360">
        <f>Summary_Output!U76</f>
        <v>0</v>
      </c>
      <c r="K76" s="360">
        <f>Summary_Output!V76</f>
        <v>0</v>
      </c>
    </row>
    <row r="77" spans="1:11" s="335" customFormat="1">
      <c r="A77" s="358"/>
      <c r="B77" s="361" t="s">
        <v>378</v>
      </c>
      <c r="C77" s="361" t="s">
        <v>379</v>
      </c>
      <c r="D77" s="361" t="s">
        <v>174</v>
      </c>
      <c r="E77" s="3" t="s">
        <v>107</v>
      </c>
      <c r="F77" s="370"/>
      <c r="G77" s="360">
        <f>Summary_Output!R77</f>
        <v>-2.2399142243557089</v>
      </c>
      <c r="H77" s="360">
        <f>Summary_Output!S77</f>
        <v>-2.3091275738883001</v>
      </c>
      <c r="I77" s="360">
        <f>Summary_Output!T77</f>
        <v>-2.3804796159214487</v>
      </c>
      <c r="J77" s="360">
        <f>Summary_Output!U77</f>
        <v>-2.4542410521041558</v>
      </c>
      <c r="K77" s="360">
        <f>Summary_Output!V77</f>
        <v>-2.5300771006141742</v>
      </c>
    </row>
    <row r="78" spans="1:11" s="335" customFormat="1">
      <c r="A78" s="358"/>
      <c r="B78" s="361" t="s">
        <v>380</v>
      </c>
      <c r="C78" s="361" t="s">
        <v>381</v>
      </c>
      <c r="D78" s="361" t="s">
        <v>174</v>
      </c>
      <c r="E78" s="3" t="s">
        <v>107</v>
      </c>
      <c r="F78" s="370"/>
      <c r="G78" s="360">
        <f>Summary_Output!R78</f>
        <v>0</v>
      </c>
      <c r="H78" s="360">
        <f>Summary_Output!S78</f>
        <v>0</v>
      </c>
      <c r="I78" s="360">
        <f>Summary_Output!T78</f>
        <v>0</v>
      </c>
      <c r="J78" s="360">
        <f>Summary_Output!U78</f>
        <v>0</v>
      </c>
      <c r="K78" s="360">
        <f>Summary_Output!V78</f>
        <v>0</v>
      </c>
    </row>
    <row r="79" spans="1:11" s="335" customFormat="1">
      <c r="A79" s="358"/>
      <c r="B79" s="361" t="s">
        <v>382</v>
      </c>
      <c r="C79" s="361" t="s">
        <v>307</v>
      </c>
      <c r="D79" s="361" t="s">
        <v>174</v>
      </c>
      <c r="E79" s="361" t="s">
        <v>107</v>
      </c>
      <c r="F79" s="370"/>
      <c r="G79" s="360">
        <f>Summary_Output!R83</f>
        <v>0</v>
      </c>
      <c r="H79" s="360">
        <f>Summary_Output!S83</f>
        <v>0</v>
      </c>
      <c r="I79" s="360">
        <f>Summary_Output!T83</f>
        <v>0</v>
      </c>
      <c r="J79" s="360">
        <f>Summary_Output!U83</f>
        <v>0</v>
      </c>
      <c r="K79" s="360">
        <f>Summary_Output!V83</f>
        <v>0</v>
      </c>
    </row>
    <row r="80" spans="1:11" s="335" customFormat="1">
      <c r="A80" s="358"/>
      <c r="B80" s="361" t="s">
        <v>383</v>
      </c>
      <c r="C80" s="361" t="s">
        <v>319</v>
      </c>
      <c r="D80" s="361" t="s">
        <v>174</v>
      </c>
      <c r="E80" s="361" t="s">
        <v>107</v>
      </c>
      <c r="F80" s="370"/>
      <c r="G80" s="360">
        <f>Summary_Output!R84</f>
        <v>0.2910477817961743</v>
      </c>
      <c r="H80" s="360">
        <f>Summary_Output!S84</f>
        <v>0.30004115825367605</v>
      </c>
      <c r="I80" s="360">
        <f>Summary_Output!T84</f>
        <v>0.30931243004371467</v>
      </c>
      <c r="J80" s="360">
        <f>Summary_Output!U84</f>
        <v>0.31889677133216382</v>
      </c>
      <c r="K80" s="360">
        <f>Summary_Output!V84</f>
        <v>0.3287506815663277</v>
      </c>
    </row>
    <row r="81" spans="1:11" s="335" customFormat="1">
      <c r="A81" s="358"/>
      <c r="B81" s="361" t="s">
        <v>384</v>
      </c>
      <c r="C81" s="361" t="s">
        <v>385</v>
      </c>
      <c r="D81" s="361" t="s">
        <v>174</v>
      </c>
      <c r="E81" s="361" t="s">
        <v>107</v>
      </c>
      <c r="F81" s="370"/>
      <c r="G81" s="360">
        <f>Summary_Output!R85</f>
        <v>0</v>
      </c>
      <c r="H81" s="360">
        <f>Summary_Output!S85</f>
        <v>0</v>
      </c>
      <c r="I81" s="360">
        <f>Summary_Output!T85</f>
        <v>0</v>
      </c>
      <c r="J81" s="360">
        <f>Summary_Output!U85</f>
        <v>0</v>
      </c>
      <c r="K81" s="360">
        <f>Summary_Output!V85</f>
        <v>0</v>
      </c>
    </row>
    <row r="82" spans="1:11" s="335" customFormat="1">
      <c r="A82" s="358"/>
      <c r="B82" s="361" t="s">
        <v>386</v>
      </c>
      <c r="C82" s="361" t="s">
        <v>309</v>
      </c>
      <c r="D82" s="361" t="s">
        <v>174</v>
      </c>
      <c r="E82" s="361" t="s">
        <v>107</v>
      </c>
      <c r="F82" s="370"/>
      <c r="G82" s="360">
        <f>Summary_Output!R86</f>
        <v>0</v>
      </c>
      <c r="H82" s="360">
        <f>Summary_Output!S86</f>
        <v>0</v>
      </c>
      <c r="I82" s="360">
        <f>Summary_Output!T86</f>
        <v>0</v>
      </c>
      <c r="J82" s="360">
        <f>Summary_Output!U86</f>
        <v>0</v>
      </c>
      <c r="K82" s="360">
        <f>Summary_Output!V86</f>
        <v>0</v>
      </c>
    </row>
    <row r="83" spans="1:11" s="335" customFormat="1">
      <c r="A83" s="358"/>
      <c r="B83" s="361" t="s">
        <v>387</v>
      </c>
      <c r="C83" s="361" t="s">
        <v>321</v>
      </c>
      <c r="D83" s="361" t="s">
        <v>174</v>
      </c>
      <c r="E83" s="361" t="s">
        <v>107</v>
      </c>
      <c r="F83" s="370"/>
      <c r="G83" s="360">
        <f>Summary_Output!R87</f>
        <v>-2.9705279927038784</v>
      </c>
      <c r="H83" s="360">
        <f>Summary_Output!S87</f>
        <v>-3.0623173076784282</v>
      </c>
      <c r="I83" s="360">
        <f>Summary_Output!T87</f>
        <v>-3.1569429124856914</v>
      </c>
      <c r="J83" s="360">
        <f>Summary_Output!U87</f>
        <v>-3.2547638060628987</v>
      </c>
      <c r="K83" s="360">
        <f>Summary_Output!V87</f>
        <v>-3.355336007670243</v>
      </c>
    </row>
    <row r="84" spans="1:11" s="335" customFormat="1">
      <c r="A84" s="358"/>
      <c r="B84" s="361" t="s">
        <v>388</v>
      </c>
      <c r="C84" s="361" t="s">
        <v>331</v>
      </c>
      <c r="D84" s="361" t="s">
        <v>174</v>
      </c>
      <c r="E84" s="361" t="s">
        <v>107</v>
      </c>
      <c r="F84" s="370"/>
      <c r="G84" s="360">
        <f>Summary_Output!R88</f>
        <v>1.9960098291112087</v>
      </c>
      <c r="H84" s="360">
        <f>Summary_Output!S88</f>
        <v>2.0576865328307452</v>
      </c>
      <c r="I84" s="360">
        <f>Summary_Output!T88</f>
        <v>2.1212690466952147</v>
      </c>
      <c r="J84" s="360">
        <f>Summary_Output!U88</f>
        <v>2.1869985956347024</v>
      </c>
      <c r="K84" s="360">
        <f>Summary_Output!V88</f>
        <v>2.2545768522398153</v>
      </c>
    </row>
    <row r="85" spans="1:11" s="335" customFormat="1">
      <c r="A85" s="358"/>
      <c r="B85" s="361" t="s">
        <v>389</v>
      </c>
      <c r="C85" s="361" t="s">
        <v>333</v>
      </c>
      <c r="D85" s="361" t="s">
        <v>174</v>
      </c>
      <c r="E85" s="361" t="s">
        <v>107</v>
      </c>
      <c r="F85" s="370"/>
      <c r="G85" s="360">
        <f>Summary_Output!R89</f>
        <v>-1.6565565446106361E-2</v>
      </c>
      <c r="H85" s="360">
        <f>Summary_Output!S89</f>
        <v>-1.7077441418391046E-2</v>
      </c>
      <c r="I85" s="360">
        <f>Summary_Output!T89</f>
        <v>-1.7605134358219327E-2</v>
      </c>
      <c r="J85" s="360">
        <f>Summary_Output!U89</f>
        <v>-1.8150646273451216E-2</v>
      </c>
      <c r="K85" s="360">
        <f>Summary_Output!V89</f>
        <v>-1.8711501243300864E-2</v>
      </c>
    </row>
    <row r="86" spans="1:11" s="335" customFormat="1">
      <c r="A86" s="358"/>
      <c r="B86" s="361" t="s">
        <v>390</v>
      </c>
      <c r="C86" s="361" t="s">
        <v>303</v>
      </c>
      <c r="D86" s="361" t="s">
        <v>174</v>
      </c>
      <c r="E86" s="361" t="s">
        <v>107</v>
      </c>
      <c r="F86" s="370"/>
      <c r="G86" s="360">
        <f>Summary_Output!R90</f>
        <v>0.19985527809006942</v>
      </c>
      <c r="H86" s="360">
        <f>Summary_Output!S90</f>
        <v>0.20603080618305256</v>
      </c>
      <c r="I86" s="360">
        <f>Summary_Output!T90</f>
        <v>0.21239715809410886</v>
      </c>
      <c r="J86" s="360">
        <f>Summary_Output!U90</f>
        <v>0.21897848704872908</v>
      </c>
      <c r="K86" s="360">
        <f>Summary_Output!V90</f>
        <v>0.22574492229853485</v>
      </c>
    </row>
    <row r="87" spans="1:11" s="335" customFormat="1">
      <c r="A87" s="358"/>
      <c r="B87" s="361" t="s">
        <v>391</v>
      </c>
      <c r="C87" s="361" t="s">
        <v>392</v>
      </c>
      <c r="D87" s="361" t="s">
        <v>174</v>
      </c>
      <c r="E87" s="361" t="s">
        <v>107</v>
      </c>
      <c r="F87" s="370"/>
      <c r="G87" s="360">
        <f>Summary_Output!R91</f>
        <v>0</v>
      </c>
      <c r="H87" s="360">
        <f>Summary_Output!S91</f>
        <v>0</v>
      </c>
      <c r="I87" s="360">
        <f>Summary_Output!T91</f>
        <v>0</v>
      </c>
      <c r="J87" s="360">
        <f>Summary_Output!U91</f>
        <v>0</v>
      </c>
      <c r="K87" s="360">
        <f>Summary_Output!V91</f>
        <v>0</v>
      </c>
    </row>
    <row r="88" spans="1:11" s="335" customFormat="1">
      <c r="A88" s="358"/>
      <c r="B88" s="361" t="s">
        <v>393</v>
      </c>
      <c r="C88" s="361" t="s">
        <v>309</v>
      </c>
      <c r="D88" s="361" t="s">
        <v>174</v>
      </c>
      <c r="E88" s="361" t="s">
        <v>107</v>
      </c>
      <c r="F88" s="370"/>
      <c r="G88" s="360">
        <f>Summary_Output!R92</f>
        <v>0</v>
      </c>
      <c r="H88" s="360">
        <f>Summary_Output!S92</f>
        <v>0</v>
      </c>
      <c r="I88" s="360">
        <f>Summary_Output!T92</f>
        <v>0</v>
      </c>
      <c r="J88" s="360">
        <f>Summary_Output!U92</f>
        <v>0</v>
      </c>
      <c r="K88" s="360">
        <f>Summary_Output!V92</f>
        <v>0</v>
      </c>
    </row>
    <row r="89" spans="1:11" s="335" customFormat="1">
      <c r="A89" s="358"/>
      <c r="B89" s="361" t="s">
        <v>394</v>
      </c>
      <c r="C89" s="361" t="s">
        <v>321</v>
      </c>
      <c r="D89" s="361" t="s">
        <v>174</v>
      </c>
      <c r="E89" s="361" t="s">
        <v>107</v>
      </c>
      <c r="F89" s="370"/>
      <c r="G89" s="360">
        <f>Summary_Output!R93</f>
        <v>0</v>
      </c>
      <c r="H89" s="360">
        <f>Summary_Output!S93</f>
        <v>0</v>
      </c>
      <c r="I89" s="360">
        <f>Summary_Output!T93</f>
        <v>0</v>
      </c>
      <c r="J89" s="360">
        <f>Summary_Output!U93</f>
        <v>0</v>
      </c>
      <c r="K89" s="360">
        <f>Summary_Output!V93</f>
        <v>0</v>
      </c>
    </row>
    <row r="90" spans="1:11" s="335" customFormat="1">
      <c r="A90" s="358"/>
      <c r="B90" s="361" t="s">
        <v>395</v>
      </c>
      <c r="C90" s="361" t="s">
        <v>331</v>
      </c>
      <c r="D90" s="361" t="s">
        <v>174</v>
      </c>
      <c r="E90" s="361" t="s">
        <v>107</v>
      </c>
      <c r="F90" s="370"/>
      <c r="G90" s="360">
        <f>Summary_Output!R94</f>
        <v>0</v>
      </c>
      <c r="H90" s="360">
        <f>Summary_Output!S94</f>
        <v>0</v>
      </c>
      <c r="I90" s="360">
        <f>Summary_Output!T94</f>
        <v>0</v>
      </c>
      <c r="J90" s="360">
        <f>Summary_Output!U94</f>
        <v>0</v>
      </c>
      <c r="K90" s="360">
        <f>Summary_Output!V94</f>
        <v>0</v>
      </c>
    </row>
    <row r="91" spans="1:11" s="335" customFormat="1">
      <c r="A91" s="358"/>
      <c r="B91" s="361" t="s">
        <v>396</v>
      </c>
      <c r="C91" s="361" t="s">
        <v>333</v>
      </c>
      <c r="D91" s="361" t="s">
        <v>174</v>
      </c>
      <c r="E91" s="361" t="s">
        <v>107</v>
      </c>
      <c r="F91" s="370"/>
      <c r="G91" s="360">
        <f>Summary_Output!R95</f>
        <v>0</v>
      </c>
      <c r="H91" s="360">
        <f>Summary_Output!S95</f>
        <v>0</v>
      </c>
      <c r="I91" s="360">
        <f>Summary_Output!T95</f>
        <v>0</v>
      </c>
      <c r="J91" s="360">
        <f>Summary_Output!U95</f>
        <v>0</v>
      </c>
      <c r="K91" s="360">
        <f>Summary_Output!V95</f>
        <v>0</v>
      </c>
    </row>
    <row r="92" spans="1:11" s="335" customFormat="1">
      <c r="A92" s="358"/>
      <c r="B92" s="361" t="s">
        <v>397</v>
      </c>
      <c r="C92" s="361" t="s">
        <v>303</v>
      </c>
      <c r="D92" s="361" t="s">
        <v>174</v>
      </c>
      <c r="E92" s="361" t="s">
        <v>107</v>
      </c>
      <c r="F92" s="370"/>
      <c r="G92" s="360">
        <f>Summary_Output!R96</f>
        <v>0</v>
      </c>
      <c r="H92" s="360">
        <f>Summary_Output!S96</f>
        <v>0</v>
      </c>
      <c r="I92" s="360">
        <f>Summary_Output!T96</f>
        <v>0</v>
      </c>
      <c r="J92" s="360">
        <f>Summary_Output!U96</f>
        <v>0</v>
      </c>
      <c r="K92" s="360">
        <f>Summary_Output!V96</f>
        <v>0</v>
      </c>
    </row>
    <row r="93" spans="1:11" s="335" customFormat="1">
      <c r="A93" s="358"/>
      <c r="B93" s="361" t="s">
        <v>398</v>
      </c>
      <c r="C93" s="361" t="s">
        <v>311</v>
      </c>
      <c r="D93" s="361" t="s">
        <v>174</v>
      </c>
      <c r="E93" s="361" t="s">
        <v>107</v>
      </c>
      <c r="F93" s="370"/>
      <c r="G93" s="360">
        <f>Summary_Output!R97</f>
        <v>0</v>
      </c>
      <c r="H93" s="360">
        <f>Summary_Output!S97</f>
        <v>0</v>
      </c>
      <c r="I93" s="360">
        <f>Summary_Output!T97</f>
        <v>0</v>
      </c>
      <c r="J93" s="360">
        <f>Summary_Output!U97</f>
        <v>0</v>
      </c>
      <c r="K93" s="360">
        <f>Summary_Output!V97</f>
        <v>0</v>
      </c>
    </row>
    <row r="94" spans="1:11" s="335" customFormat="1">
      <c r="A94" s="358"/>
      <c r="B94" s="361" t="s">
        <v>399</v>
      </c>
      <c r="C94" s="361" t="s">
        <v>323</v>
      </c>
      <c r="D94" s="361" t="s">
        <v>174</v>
      </c>
      <c r="E94" s="361" t="s">
        <v>107</v>
      </c>
      <c r="F94" s="370"/>
      <c r="G94" s="360">
        <f>Summary_Output!R98</f>
        <v>0</v>
      </c>
      <c r="H94" s="360">
        <f>Summary_Output!S98</f>
        <v>0</v>
      </c>
      <c r="I94" s="360">
        <f>Summary_Output!T98</f>
        <v>0</v>
      </c>
      <c r="J94" s="360">
        <f>Summary_Output!U98</f>
        <v>0</v>
      </c>
      <c r="K94" s="360">
        <f>Summary_Output!V98</f>
        <v>0</v>
      </c>
    </row>
    <row r="95" spans="1:11" s="335" customFormat="1">
      <c r="A95" s="358"/>
      <c r="B95" s="361" t="s">
        <v>400</v>
      </c>
      <c r="C95" s="361" t="s">
        <v>347</v>
      </c>
      <c r="D95" s="361" t="s">
        <v>174</v>
      </c>
      <c r="E95" s="361" t="s">
        <v>107</v>
      </c>
      <c r="F95" s="370"/>
      <c r="G95" s="360">
        <f>Summary_Output!R99</f>
        <v>0</v>
      </c>
      <c r="H95" s="360">
        <f>Summary_Output!S99</f>
        <v>0</v>
      </c>
      <c r="I95" s="360">
        <f>Summary_Output!T99</f>
        <v>0</v>
      </c>
      <c r="J95" s="360">
        <f>Summary_Output!U99</f>
        <v>0</v>
      </c>
      <c r="K95" s="360">
        <f>Summary_Output!V99</f>
        <v>0</v>
      </c>
    </row>
    <row r="96" spans="1:11" s="335" customFormat="1">
      <c r="A96" s="358"/>
      <c r="B96" s="361" t="s">
        <v>401</v>
      </c>
      <c r="C96" s="361" t="s">
        <v>349</v>
      </c>
      <c r="D96" s="361" t="s">
        <v>174</v>
      </c>
      <c r="E96" s="361" t="s">
        <v>107</v>
      </c>
      <c r="F96" s="370"/>
      <c r="G96" s="360">
        <f>Summary_Output!R100</f>
        <v>0</v>
      </c>
      <c r="H96" s="360">
        <f>Summary_Output!S100</f>
        <v>0</v>
      </c>
      <c r="I96" s="360">
        <f>Summary_Output!T100</f>
        <v>0</v>
      </c>
      <c r="J96" s="360">
        <f>Summary_Output!U100</f>
        <v>0</v>
      </c>
      <c r="K96" s="360">
        <f>Summary_Output!V100</f>
        <v>0</v>
      </c>
    </row>
    <row r="97" spans="2:11" ht="14.25">
      <c r="B97" t="s">
        <v>402</v>
      </c>
      <c r="C97" t="s">
        <v>403</v>
      </c>
      <c r="D97" t="s">
        <v>238</v>
      </c>
      <c r="E97" t="s">
        <v>107</v>
      </c>
      <c r="F97" s="334" t="str">
        <f t="shared" ref="F97:K97" ca="1" si="0">CONCATENATE("[…]", TEXT(NOW(),"dd/mm/yyy hh:mm:ss"))</f>
        <v>[…]16/08/2019 03:56:29</v>
      </c>
      <c r="G97" s="334" t="str">
        <f t="shared" ca="1" si="0"/>
        <v>[…]16/08/2019 03:56:29</v>
      </c>
      <c r="H97" s="334" t="str">
        <f t="shared" ca="1" si="0"/>
        <v>[…]16/08/2019 03:56:29</v>
      </c>
      <c r="I97" s="334" t="str">
        <f t="shared" ca="1" si="0"/>
        <v>[…]16/08/2019 03:56:29</v>
      </c>
      <c r="J97" s="334" t="str">
        <f t="shared" ca="1" si="0"/>
        <v>[…]16/08/2019 03:56:29</v>
      </c>
      <c r="K97" s="334" t="str">
        <f t="shared" ca="1" si="0"/>
        <v>[…]16/08/2019 03:56:29</v>
      </c>
    </row>
    <row r="98" spans="2:11">
      <c r="B98" t="s">
        <v>404</v>
      </c>
      <c r="C98" t="s">
        <v>405</v>
      </c>
      <c r="D98" t="s">
        <v>238</v>
      </c>
      <c r="E98" t="s">
        <v>107</v>
      </c>
      <c r="F98" s="357" t="e">
        <f ca="1">MID(CELL("filename",F1),SEARCH("[",CELL("filename",F1))+1,SEARCH(".",CELL("filename",F1))-1-SEARCH("[",CELL("filename",F1)))</f>
        <v>#VALUE!</v>
      </c>
      <c r="G98" s="357" t="e">
        <f ca="1">MID(CELL("filename",F1),SEARCH("[",CELL("filename",F1))+1,SEARCH(".",CELL("filename",F1))-1-SEARCH("[",CELL("filename",F1)))</f>
        <v>#VALUE!</v>
      </c>
      <c r="H98" s="357" t="e">
        <f ca="1">MID(CELL("filename",F1),SEARCH("[",CELL("filename",F1))+1,SEARCH(".",CELL("filename",F1))-1-SEARCH("[",CELL("filename",F1)))</f>
        <v>#VALUE!</v>
      </c>
      <c r="I98" s="357" t="e">
        <f ca="1">MID(CELL("filename",F1),SEARCH("[",CELL("filename",F1))+1,SEARCH(".",CELL("filename",F1))-1-SEARCH("[",CELL("filename",F1)))</f>
        <v>#VALUE!</v>
      </c>
      <c r="J98" s="357" t="e">
        <f ca="1">MID(CELL("filename",F1),SEARCH("[",CELL("filename",F1))+1,SEARCH(".",CELL("filename",F1))-1-SEARCH("[",CELL("filename",F1)))</f>
        <v>#VALUE!</v>
      </c>
      <c r="K98" s="357" t="e">
        <f ca="1">MID(CELL("filename",F1),SEARCH("[",CELL("filename",F1))+1,SEARCH(".",CELL("filename",F1))-1-SEARCH("[",CELL("filename",F1)))</f>
        <v>#VALUE!</v>
      </c>
    </row>
  </sheetData>
  <sheetProtection sort="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2664"/>
  </sheetPr>
  <dimension ref="A1:XFC54"/>
  <sheetViews>
    <sheetView showGridLines="0" showRuler="0" zoomScale="80" zoomScaleNormal="80" workbookViewId="0">
      <selection activeCell="D3" sqref="D3"/>
    </sheetView>
  </sheetViews>
  <sheetFormatPr defaultColWidth="0" defaultRowHeight="12.75" customHeight="1" zeroHeight="1"/>
  <cols>
    <col min="1" max="2" width="1.28515625" style="251" customWidth="1"/>
    <col min="3" max="3" width="32.7109375" style="252" customWidth="1"/>
    <col min="4" max="4" width="15.7109375" style="251" customWidth="1"/>
    <col min="5" max="5" width="35.7109375" style="251" customWidth="1"/>
    <col min="6" max="7" width="50.7109375" style="251" customWidth="1"/>
    <col min="8" max="9" width="1.28515625" style="251" customWidth="1"/>
    <col min="10" max="16382" width="9.140625" style="251" hidden="1"/>
    <col min="16383" max="16383" width="10.85546875" style="251" hidden="1" customWidth="1"/>
    <col min="16384" max="16384" width="2.5703125" style="251" customWidth="1"/>
  </cols>
  <sheetData>
    <row r="1" spans="1:36" s="232" customFormat="1" ht="30.75" thickBot="1">
      <c r="A1" s="230" t="e">
        <f ca="1" xml:space="preserve"> RIGHT(CELL("filename", $A$1), LEN(CELL("filename", $A$1)) - SEARCH("]", CELL("filename", $A$1)))</f>
        <v>#VALUE!</v>
      </c>
      <c r="B1" s="230"/>
      <c r="C1" s="231"/>
      <c r="D1" s="230"/>
      <c r="E1" s="230"/>
      <c r="F1" s="230"/>
      <c r="G1" s="230"/>
      <c r="H1" s="230"/>
      <c r="I1" s="230"/>
    </row>
    <row r="2" spans="1:36" s="236" customFormat="1" ht="5.0999999999999996" customHeight="1">
      <c r="A2" s="233"/>
      <c r="B2" s="233"/>
      <c r="C2" s="234"/>
      <c r="D2" s="233"/>
      <c r="E2" s="233"/>
      <c r="F2" s="233"/>
      <c r="G2" s="235"/>
      <c r="H2" s="235"/>
      <c r="I2" s="235"/>
    </row>
    <row r="3" spans="1:36" s="239" customFormat="1" ht="18" customHeight="1">
      <c r="A3" s="237"/>
      <c r="B3" s="237"/>
      <c r="C3" s="231" t="s">
        <v>406</v>
      </c>
      <c r="D3" s="238" t="s">
        <v>407</v>
      </c>
      <c r="E3" s="237"/>
      <c r="F3" s="237"/>
    </row>
    <row r="4" spans="1:36" s="236" customFormat="1" ht="18" customHeight="1">
      <c r="A4" s="238"/>
      <c r="B4" s="238"/>
      <c r="C4" s="231" t="s">
        <v>408</v>
      </c>
      <c r="D4" s="238" t="s">
        <v>409</v>
      </c>
      <c r="E4" s="238"/>
      <c r="F4" s="238"/>
    </row>
    <row r="5" spans="1:36" s="236" customFormat="1" ht="18" customHeight="1">
      <c r="A5" s="238"/>
      <c r="B5" s="238"/>
      <c r="C5" s="231" t="s">
        <v>410</v>
      </c>
      <c r="D5" s="238" t="str">
        <f xml:space="preserve"> "PR19 Revenue adjustments feeder model " &amp; D4 &amp; ".xlsm"</f>
        <v>PR19 Revenue adjustments feeder model 01L - January 2019 update.xlsm</v>
      </c>
      <c r="E5" s="238"/>
      <c r="F5" s="238"/>
    </row>
    <row r="6" spans="1:36" s="236" customFormat="1" ht="18" customHeight="1">
      <c r="A6" s="238"/>
      <c r="B6" s="238"/>
      <c r="C6" s="231" t="s">
        <v>411</v>
      </c>
      <c r="D6" s="278">
        <v>43496</v>
      </c>
      <c r="E6" s="238"/>
      <c r="F6" s="238"/>
    </row>
    <row r="7" spans="1:36" s="236" customFormat="1" ht="18" customHeight="1">
      <c r="A7" s="238"/>
      <c r="B7" s="238"/>
      <c r="C7" s="231" t="s">
        <v>412</v>
      </c>
      <c r="D7" s="238" t="s">
        <v>413</v>
      </c>
      <c r="E7" s="238"/>
      <c r="F7" s="238"/>
    </row>
    <row r="8" spans="1:36" s="236" customFormat="1" ht="18" customHeight="1">
      <c r="A8" s="238"/>
      <c r="B8" s="238"/>
      <c r="C8" s="231" t="s">
        <v>414</v>
      </c>
      <c r="D8" s="416" t="s">
        <v>415</v>
      </c>
      <c r="E8" s="417"/>
      <c r="F8" s="238"/>
    </row>
    <row r="9" spans="1:36" s="236" customFormat="1" ht="5.0999999999999996" customHeight="1">
      <c r="A9" s="240"/>
      <c r="B9" s="240"/>
      <c r="C9" s="241"/>
      <c r="D9" s="240"/>
      <c r="E9" s="240"/>
      <c r="F9" s="240"/>
      <c r="G9" s="240"/>
      <c r="H9" s="240"/>
      <c r="I9" s="240"/>
    </row>
    <row r="10" spans="1:36" s="244" customFormat="1" ht="5.0999999999999996" customHeight="1">
      <c r="A10" s="242"/>
      <c r="B10" s="242"/>
      <c r="C10" s="243"/>
      <c r="D10" s="242"/>
      <c r="E10" s="242"/>
      <c r="F10" s="242"/>
      <c r="G10" s="242"/>
      <c r="H10" s="242"/>
      <c r="I10" s="242"/>
    </row>
    <row r="11" spans="1:36" s="244" customFormat="1" ht="18" customHeight="1">
      <c r="A11" s="242"/>
      <c r="B11" s="242"/>
      <c r="C11" s="243" t="s">
        <v>416</v>
      </c>
      <c r="D11" s="245" t="s">
        <v>417</v>
      </c>
      <c r="E11" s="245"/>
      <c r="F11" s="245"/>
      <c r="G11" s="245"/>
      <c r="H11" s="245"/>
      <c r="I11" s="245"/>
    </row>
    <row r="12" spans="1:36" s="244" customFormat="1" ht="18" customHeight="1">
      <c r="A12" s="242"/>
      <c r="B12" s="242"/>
      <c r="C12" s="243"/>
      <c r="D12" s="245" t="s">
        <v>418</v>
      </c>
      <c r="E12" s="245"/>
      <c r="F12" s="245"/>
      <c r="G12" s="245"/>
      <c r="H12" s="245"/>
      <c r="I12" s="245"/>
    </row>
    <row r="13" spans="1:36" s="244" customFormat="1" ht="12.75" customHeight="1">
      <c r="A13" s="242"/>
      <c r="B13" s="242"/>
      <c r="C13" s="243"/>
      <c r="D13" s="245"/>
      <c r="E13" s="245"/>
      <c r="F13" s="245"/>
      <c r="G13" s="245"/>
      <c r="H13" s="245"/>
      <c r="I13" s="245"/>
    </row>
    <row r="14" spans="1:36" s="244" customFormat="1" ht="18" customHeight="1">
      <c r="A14" s="242"/>
      <c r="B14" s="242"/>
      <c r="C14" s="243" t="s">
        <v>419</v>
      </c>
      <c r="D14" s="245" t="s">
        <v>420</v>
      </c>
      <c r="E14" s="245"/>
      <c r="F14" s="245"/>
      <c r="G14" s="245"/>
      <c r="H14" s="245"/>
      <c r="I14" s="245"/>
    </row>
    <row r="15" spans="1:36" s="244" customFormat="1" ht="5.0999999999999996" customHeight="1">
      <c r="A15" s="242"/>
      <c r="B15" s="242"/>
      <c r="C15" s="243"/>
      <c r="D15" s="245"/>
      <c r="E15" s="245"/>
      <c r="F15" s="245"/>
      <c r="G15" s="245"/>
      <c r="H15" s="245"/>
      <c r="I15" s="245"/>
    </row>
    <row r="16" spans="1:36" s="244" customFormat="1" ht="16.149999999999999" customHeight="1">
      <c r="A16" s="242"/>
      <c r="B16" s="242"/>
      <c r="C16" s="243" t="s">
        <v>421</v>
      </c>
      <c r="D16" s="245" t="s">
        <v>422</v>
      </c>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row>
    <row r="17" spans="1:9" s="244" customFormat="1" ht="18" customHeight="1">
      <c r="A17" s="242"/>
      <c r="B17" s="242"/>
      <c r="C17" s="243"/>
      <c r="D17" s="246" t="s">
        <v>415</v>
      </c>
      <c r="E17" s="245"/>
      <c r="F17" s="245"/>
      <c r="G17" s="245"/>
      <c r="H17" s="245"/>
      <c r="I17" s="245"/>
    </row>
    <row r="18" spans="1:9" s="244" customFormat="1" ht="18" customHeight="1">
      <c r="A18" s="242"/>
      <c r="B18" s="242"/>
      <c r="C18" s="243"/>
      <c r="D18" s="246"/>
      <c r="E18" s="245"/>
      <c r="F18" s="245"/>
      <c r="G18" s="245"/>
      <c r="H18" s="245"/>
      <c r="I18" s="245"/>
    </row>
    <row r="19" spans="1:9" s="244" customFormat="1" ht="12.75" customHeight="1">
      <c r="A19" s="242"/>
      <c r="B19" s="242"/>
      <c r="C19" s="243"/>
      <c r="D19" s="377">
        <f>Checks!F$11</f>
        <v>1</v>
      </c>
      <c r="E19" s="133" t="str">
        <f>Checks!G$11</f>
        <v>Checks</v>
      </c>
      <c r="F19" s="245"/>
      <c r="G19" s="245"/>
      <c r="H19" s="245"/>
      <c r="I19" s="245"/>
    </row>
    <row r="20" spans="1:9" s="244" customFormat="1" ht="12.75" customHeight="1">
      <c r="A20" s="242"/>
      <c r="B20" s="242"/>
      <c r="C20" s="243"/>
      <c r="D20" s="243"/>
      <c r="E20" s="133"/>
      <c r="F20" s="245"/>
      <c r="G20" s="245"/>
      <c r="H20" s="245"/>
      <c r="I20" s="245"/>
    </row>
    <row r="21" spans="1:9" s="244" customFormat="1" ht="5.0999999999999996" customHeight="1">
      <c r="A21" s="242"/>
      <c r="B21" s="242"/>
      <c r="C21" s="243"/>
      <c r="D21" s="242"/>
      <c r="E21" s="242"/>
      <c r="F21" s="242"/>
      <c r="G21" s="242"/>
      <c r="H21" s="242"/>
      <c r="I21" s="242"/>
    </row>
    <row r="22" spans="1:9" s="250" customFormat="1" ht="12.75" customHeight="1">
      <c r="A22" s="247" t="s">
        <v>423</v>
      </c>
      <c r="B22" s="248"/>
      <c r="C22" s="249"/>
      <c r="D22" s="248"/>
      <c r="E22" s="248"/>
      <c r="F22" s="248"/>
      <c r="G22" s="248"/>
      <c r="H22" s="248"/>
      <c r="I22" s="248"/>
    </row>
    <row r="23" spans="1:9" ht="12.75" hidden="1" customHeight="1"/>
    <row r="24" spans="1:9" ht="12.75" hidden="1" customHeight="1"/>
    <row r="25" spans="1:9" ht="12.75" hidden="1" customHeight="1"/>
    <row r="26" spans="1:9" ht="12.75" hidden="1" customHeight="1"/>
    <row r="27" spans="1:9" ht="12.75" hidden="1" customHeight="1"/>
    <row r="28" spans="1:9" ht="12.75" hidden="1"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
    <mergeCell ref="D8:E8"/>
  </mergeCells>
  <conditionalFormatting sqref="D19">
    <cfRule type="cellIs" dxfId="58" priority="1" operator="greaterThan">
      <formula>0</formula>
    </cfRule>
  </conditionalFormatting>
  <hyperlinks>
    <hyperlink ref="D8" r:id="rId1" xr:uid="{00000000-0004-0000-0400-000000000000}"/>
    <hyperlink ref="D17" r:id="rId2" xr:uid="{00000000-0004-0000-0400-000001000000}"/>
  </hyperlinks>
  <printOptions headings="1"/>
  <pageMargins left="0.74803149606299213" right="0.74803149606299213" top="0.98425196850393704" bottom="0.98425196850393704" header="0.51181102362204722" footer="0.51181102362204722"/>
  <pageSetup paperSize="9" scale="55" orientation="landscape" blackAndWhite="1" r:id="rId3"/>
  <headerFooter alignWithMargins="0">
    <oddHeader>&amp;CSheet:&amp;A</oddHeader>
    <oddFooter>&amp;L&amp;F ( Printed on &amp;D at &amp;T )&amp;RPage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XFC11"/>
  <sheetViews>
    <sheetView showGridLines="0" zoomScale="80" zoomScaleNormal="80" workbookViewId="0">
      <pane xSplit="1" ySplit="3" topLeftCell="B4" activePane="bottomRight" state="frozen"/>
      <selection pane="bottomRight"/>
      <selection pane="bottomLeft" activeCell="D4" sqref="D4"/>
      <selection pane="topRight" activeCell="D4" sqref="D4"/>
    </sheetView>
  </sheetViews>
  <sheetFormatPr defaultColWidth="0" defaultRowHeight="12.75"/>
  <cols>
    <col min="1" max="2" width="9.140625" style="253" customWidth="1"/>
    <col min="3" max="4" width="50.7109375" style="254" customWidth="1"/>
    <col min="5" max="5" width="17.42578125" style="254" customWidth="1"/>
    <col min="6" max="6" width="14.7109375" style="254" customWidth="1"/>
    <col min="7" max="7" width="0" style="253" hidden="1" customWidth="1"/>
    <col min="8" max="16383" width="9.140625" style="253" hidden="1"/>
    <col min="16384" max="16384" width="9" style="253" hidden="1" customWidth="1"/>
  </cols>
  <sheetData>
    <row r="1" spans="1:6" s="264" customFormat="1" ht="33.75">
      <c r="A1" s="264" t="s">
        <v>424</v>
      </c>
    </row>
    <row r="2" spans="1:6">
      <c r="A2" s="256"/>
      <c r="B2" s="256"/>
      <c r="C2" s="255"/>
      <c r="D2" s="255"/>
      <c r="E2" s="255"/>
      <c r="F2" s="255"/>
    </row>
    <row r="3" spans="1:6" ht="15.75">
      <c r="A3" s="256"/>
      <c r="B3" s="263" t="s">
        <v>425</v>
      </c>
      <c r="C3" s="263" t="s">
        <v>426</v>
      </c>
      <c r="D3" s="263" t="s">
        <v>427</v>
      </c>
      <c r="E3" s="263" t="s">
        <v>428</v>
      </c>
      <c r="F3" s="263" t="s">
        <v>429</v>
      </c>
    </row>
    <row r="4" spans="1:6">
      <c r="A4" s="256"/>
      <c r="B4" s="256"/>
      <c r="C4" s="255"/>
      <c r="D4" s="255"/>
      <c r="E4" s="255"/>
      <c r="F4" s="255"/>
    </row>
    <row r="5" spans="1:6" ht="51">
      <c r="A5" s="277">
        <v>43070</v>
      </c>
      <c r="B5" s="262">
        <v>1</v>
      </c>
      <c r="C5" s="261" t="s">
        <v>430</v>
      </c>
      <c r="D5" s="261" t="s">
        <v>431</v>
      </c>
      <c r="E5" s="261" t="s">
        <v>432</v>
      </c>
      <c r="F5" s="260">
        <v>109</v>
      </c>
    </row>
    <row r="6" spans="1:6" ht="38.25">
      <c r="A6" s="277">
        <v>43070</v>
      </c>
      <c r="B6" s="258">
        <v>2</v>
      </c>
      <c r="C6" s="257" t="s">
        <v>433</v>
      </c>
      <c r="D6" s="257" t="s">
        <v>434</v>
      </c>
      <c r="E6" s="257" t="s">
        <v>435</v>
      </c>
      <c r="F6" s="259"/>
    </row>
    <row r="7" spans="1:6" ht="38.25">
      <c r="A7" s="277">
        <v>43252</v>
      </c>
      <c r="B7" s="279">
        <v>3</v>
      </c>
      <c r="C7" s="280" t="s">
        <v>436</v>
      </c>
      <c r="D7" s="280" t="s">
        <v>437</v>
      </c>
      <c r="E7" s="280" t="s">
        <v>438</v>
      </c>
      <c r="F7" s="281"/>
    </row>
    <row r="8" spans="1:6">
      <c r="A8" s="277">
        <v>43252</v>
      </c>
      <c r="B8" s="258">
        <v>4</v>
      </c>
      <c r="C8" s="257" t="s">
        <v>439</v>
      </c>
      <c r="D8" s="257" t="s">
        <v>440</v>
      </c>
      <c r="E8" s="257" t="s">
        <v>441</v>
      </c>
      <c r="F8" s="259"/>
    </row>
    <row r="9" spans="1:6" ht="38.25">
      <c r="A9" s="277">
        <v>43282</v>
      </c>
      <c r="B9" s="305">
        <v>5</v>
      </c>
      <c r="C9" s="306" t="s">
        <v>442</v>
      </c>
      <c r="D9" s="306" t="s">
        <v>443</v>
      </c>
      <c r="E9" s="306" t="s">
        <v>438</v>
      </c>
      <c r="F9" s="307"/>
    </row>
    <row r="10" spans="1:6" ht="38.25">
      <c r="A10" s="277">
        <v>43466</v>
      </c>
      <c r="B10" s="258">
        <v>6</v>
      </c>
      <c r="C10" s="257" t="s">
        <v>444</v>
      </c>
      <c r="D10" s="257" t="s">
        <v>445</v>
      </c>
      <c r="E10" s="257" t="s">
        <v>446</v>
      </c>
      <c r="F10" s="259"/>
    </row>
    <row r="11" spans="1:6">
      <c r="A11" s="256"/>
      <c r="B11" s="256"/>
      <c r="C11" s="255"/>
      <c r="D11" s="255"/>
      <c r="E11" s="255"/>
      <c r="F11" s="255"/>
    </row>
  </sheetData>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P127"/>
  <sheetViews>
    <sheetView showGridLines="0" defaultGridColor="0" colorId="22" zoomScale="80" zoomScaleNormal="80" workbookViewId="0">
      <pane ySplit="1" topLeftCell="A2" activePane="bottomLeft" state="frozen"/>
      <selection pane="bottomLeft"/>
      <selection activeCell="D4" sqref="D4"/>
    </sheetView>
  </sheetViews>
  <sheetFormatPr defaultColWidth="0" defaultRowHeight="12.75"/>
  <cols>
    <col min="1" max="1" width="1.28515625" style="10" customWidth="1"/>
    <col min="2" max="4" width="1.28515625" style="3" customWidth="1"/>
    <col min="5" max="5" width="2.7109375" style="3" customWidth="1"/>
    <col min="6" max="6" width="4.7109375" style="3" customWidth="1"/>
    <col min="7" max="7" width="2.7109375" style="3" customWidth="1"/>
    <col min="8" max="8" width="30.7109375" style="49" customWidth="1"/>
    <col min="9" max="9" width="2.7109375" style="3" customWidth="1"/>
    <col min="10" max="10" width="4.7109375" style="3" customWidth="1"/>
    <col min="11" max="11" width="2.7109375" style="3" customWidth="1"/>
    <col min="12" max="12" width="30.7109375" style="3" customWidth="1"/>
    <col min="13" max="13" width="2.7109375" style="3" customWidth="1"/>
    <col min="14" max="14" width="4.7109375" style="3" customWidth="1"/>
    <col min="15" max="15" width="2.7109375" style="3" customWidth="1"/>
    <col min="16" max="16" width="30.7109375" style="3" customWidth="1"/>
    <col min="17" max="19" width="2.7109375" style="3" customWidth="1"/>
    <col min="20" max="20" width="4.7109375" style="3" customWidth="1"/>
    <col min="21" max="21" width="2.7109375" style="3" customWidth="1"/>
    <col min="22" max="22" width="30.7109375" style="3" customWidth="1"/>
    <col min="23" max="23" width="2.7109375" style="3" customWidth="1"/>
    <col min="24" max="24" width="4.7109375" style="3" customWidth="1"/>
    <col min="25" max="25" width="2.7109375" style="3" customWidth="1"/>
    <col min="26" max="26" width="4.7109375" style="3" customWidth="1"/>
    <col min="27" max="27" width="5.7109375" style="3" customWidth="1"/>
    <col min="28" max="29" width="2.7109375" style="3" customWidth="1"/>
    <col min="30" max="30" width="30.7109375" style="3" customWidth="1"/>
    <col min="31" max="31" width="2.7109375" style="3" customWidth="1"/>
    <col min="32" max="32" width="5.7109375" style="3" customWidth="1"/>
    <col min="33" max="33" width="2.7109375" style="3" customWidth="1"/>
    <col min="34" max="34" width="30.7109375" style="3" customWidth="1"/>
    <col min="35" max="37" width="2.7109375" style="3" customWidth="1"/>
    <col min="38" max="41" width="1.28515625" style="3" customWidth="1"/>
    <col min="42" max="42" width="2.7109375" style="3" customWidth="1"/>
    <col min="43" max="16384" width="9.140625" hidden="1"/>
  </cols>
  <sheetData>
    <row r="1" spans="1:42" ht="26.25">
      <c r="A1" s="43" t="e">
        <f ca="1" xml:space="preserve"> RIGHT(CELL("filename", $A$1), LEN(CELL("filename", $A$1)) - SEARCH("]", CELL("filename", $A$1)))</f>
        <v>#VALUE!</v>
      </c>
      <c r="B1" s="43"/>
      <c r="C1" s="43"/>
      <c r="D1" s="43"/>
      <c r="E1" s="43"/>
      <c r="F1" s="43"/>
      <c r="G1" s="43"/>
      <c r="H1" s="44"/>
    </row>
    <row r="3" spans="1:42" ht="12.75" customHeight="1">
      <c r="A3" s="39" t="s">
        <v>447</v>
      </c>
      <c r="B3" s="39"/>
      <c r="C3" s="40"/>
      <c r="D3" s="45"/>
      <c r="E3" s="39"/>
      <c r="F3" s="39"/>
      <c r="G3" s="39"/>
      <c r="H3" s="39"/>
      <c r="I3" s="39"/>
      <c r="J3" s="39"/>
      <c r="K3" s="39"/>
      <c r="L3" s="39"/>
      <c r="M3" s="39"/>
      <c r="N3" s="39"/>
      <c r="O3" s="39"/>
      <c r="P3" s="39"/>
      <c r="Q3" s="39"/>
      <c r="R3" s="39"/>
      <c r="S3" s="39"/>
      <c r="T3" s="39"/>
      <c r="U3" s="39"/>
      <c r="V3" s="40"/>
      <c r="W3" s="39"/>
      <c r="X3" s="39"/>
      <c r="Y3" s="39"/>
      <c r="Z3" s="40"/>
      <c r="AA3" s="40"/>
      <c r="AB3" s="40"/>
      <c r="AC3" s="40"/>
      <c r="AD3" s="40"/>
      <c r="AE3" s="40"/>
      <c r="AF3" s="40"/>
      <c r="AG3" s="40"/>
      <c r="AH3" s="40"/>
      <c r="AI3" s="40"/>
      <c r="AJ3" s="40"/>
      <c r="AK3" s="40"/>
      <c r="AL3" s="40"/>
      <c r="AM3" s="40"/>
      <c r="AN3" s="40"/>
      <c r="AO3" s="40"/>
      <c r="AP3" s="40"/>
    </row>
    <row r="5" spans="1:42" ht="15.75">
      <c r="A5" s="46"/>
      <c r="B5" s="47"/>
      <c r="C5" s="47"/>
      <c r="D5" s="47"/>
      <c r="E5" s="47"/>
      <c r="F5" s="105" t="s">
        <v>448</v>
      </c>
      <c r="G5" s="106"/>
      <c r="H5" s="106"/>
      <c r="I5" s="106"/>
      <c r="J5" s="106"/>
      <c r="K5" s="107"/>
      <c r="L5" s="105"/>
      <c r="M5" s="107"/>
      <c r="N5" s="107"/>
      <c r="O5" s="106"/>
      <c r="P5" s="106"/>
      <c r="Q5" s="106"/>
      <c r="R5" s="108"/>
      <c r="S5" s="47"/>
      <c r="T5" s="47"/>
      <c r="U5" s="47"/>
      <c r="V5" s="47"/>
      <c r="W5" s="47"/>
      <c r="X5" s="47"/>
      <c r="Y5" s="47"/>
      <c r="Z5" s="47"/>
      <c r="AA5" s="47"/>
      <c r="AB5" s="47"/>
      <c r="AC5" s="47"/>
      <c r="AD5" s="47"/>
      <c r="AE5" s="47"/>
      <c r="AF5" s="47"/>
      <c r="AG5" s="47"/>
      <c r="AH5" s="47"/>
      <c r="AI5" s="47"/>
      <c r="AJ5" s="47"/>
      <c r="AK5" s="47"/>
      <c r="AL5" s="47"/>
      <c r="AM5" s="47"/>
      <c r="AN5" s="47"/>
      <c r="AO5" s="47"/>
      <c r="AP5" s="47"/>
    </row>
    <row r="6" spans="1:42" ht="13.5" thickBot="1">
      <c r="F6" s="48"/>
      <c r="H6" s="3"/>
      <c r="L6" s="49"/>
      <c r="R6" s="50"/>
    </row>
    <row r="7" spans="1:42">
      <c r="F7" s="48"/>
      <c r="H7" s="109"/>
      <c r="L7" s="49"/>
      <c r="P7" s="51"/>
      <c r="R7" s="50"/>
    </row>
    <row r="8" spans="1:42" ht="15" customHeight="1">
      <c r="F8" s="48"/>
      <c r="H8" s="110" t="s">
        <v>449</v>
      </c>
      <c r="L8" s="49"/>
      <c r="P8" s="52" t="s">
        <v>450</v>
      </c>
      <c r="R8" s="50"/>
    </row>
    <row r="9" spans="1:42" ht="13.5" thickBot="1">
      <c r="F9" s="48"/>
      <c r="H9" s="111"/>
      <c r="L9" s="49"/>
      <c r="P9" s="53"/>
      <c r="R9" s="50"/>
    </row>
    <row r="10" spans="1:42">
      <c r="F10" s="48"/>
      <c r="H10" s="3"/>
      <c r="L10" s="49"/>
      <c r="R10" s="50"/>
    </row>
    <row r="11" spans="1:42">
      <c r="F11" s="48"/>
      <c r="H11" s="3"/>
      <c r="L11" s="49"/>
      <c r="R11" s="50"/>
    </row>
    <row r="12" spans="1:42">
      <c r="F12" s="48"/>
      <c r="H12" s="3"/>
      <c r="L12" s="49"/>
      <c r="R12" s="50"/>
    </row>
    <row r="13" spans="1:42" ht="15.75">
      <c r="A13" s="46"/>
      <c r="B13" s="47"/>
      <c r="C13" s="47"/>
      <c r="D13" s="47"/>
      <c r="E13" s="47"/>
      <c r="F13" s="54" t="s">
        <v>451</v>
      </c>
      <c r="G13" s="55"/>
      <c r="H13" s="55"/>
      <c r="I13" s="55"/>
      <c r="J13" s="55"/>
      <c r="K13" s="55"/>
      <c r="L13" s="54"/>
      <c r="M13" s="55"/>
      <c r="N13" s="55"/>
      <c r="O13" s="55"/>
      <c r="P13" s="55"/>
      <c r="Q13" s="55"/>
      <c r="R13" s="5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1:42">
      <c r="F14" s="48"/>
      <c r="H14" s="3"/>
      <c r="L14" s="49"/>
      <c r="R14" s="50"/>
    </row>
    <row r="15" spans="1:42">
      <c r="F15" s="48"/>
      <c r="H15" s="3"/>
      <c r="L15" s="49"/>
      <c r="R15" s="50"/>
    </row>
    <row r="16" spans="1:42">
      <c r="F16" s="48"/>
      <c r="H16" s="3"/>
      <c r="L16" s="49"/>
      <c r="R16" s="50"/>
    </row>
    <row r="17" spans="1:42" ht="13.5" thickBot="1">
      <c r="F17" s="48"/>
      <c r="H17" s="3"/>
      <c r="L17" s="49"/>
      <c r="R17" s="50"/>
    </row>
    <row r="18" spans="1:42">
      <c r="F18" s="48"/>
      <c r="H18" s="112"/>
      <c r="L18" s="112"/>
      <c r="P18" s="112"/>
      <c r="R18" s="50"/>
    </row>
    <row r="19" spans="1:42" ht="15" customHeight="1">
      <c r="F19" s="48"/>
      <c r="H19" s="113" t="s">
        <v>452</v>
      </c>
      <c r="L19" s="113" t="s">
        <v>453</v>
      </c>
      <c r="P19" s="113" t="s">
        <v>454</v>
      </c>
      <c r="R19" s="50"/>
    </row>
    <row r="20" spans="1:42">
      <c r="F20" s="48"/>
      <c r="H20" s="114"/>
      <c r="L20" s="114"/>
      <c r="P20" s="114"/>
      <c r="R20" s="50"/>
    </row>
    <row r="21" spans="1:42">
      <c r="F21" s="48"/>
      <c r="H21" s="3"/>
      <c r="L21" s="49"/>
      <c r="R21" s="50"/>
    </row>
    <row r="22" spans="1:42">
      <c r="F22" s="48"/>
      <c r="H22" s="3"/>
      <c r="L22" s="49"/>
      <c r="R22" s="50"/>
    </row>
    <row r="23" spans="1:42">
      <c r="F23" s="48"/>
      <c r="H23" s="3"/>
      <c r="L23" s="49"/>
      <c r="R23" s="50"/>
    </row>
    <row r="24" spans="1:42">
      <c r="F24" s="57"/>
      <c r="G24" s="58"/>
      <c r="H24" s="58"/>
      <c r="I24" s="58"/>
      <c r="J24" s="58"/>
      <c r="K24" s="58"/>
      <c r="L24" s="59"/>
      <c r="M24" s="58"/>
      <c r="N24" s="58"/>
      <c r="O24" s="58"/>
      <c r="P24" s="58"/>
      <c r="Q24" s="58"/>
      <c r="R24" s="60"/>
    </row>
    <row r="25" spans="1:42" ht="15">
      <c r="F25" s="61" t="s">
        <v>455</v>
      </c>
      <c r="H25" s="3"/>
      <c r="L25" s="49"/>
    </row>
    <row r="26" spans="1:42">
      <c r="H26" s="3"/>
      <c r="L26" s="49"/>
    </row>
    <row r="27" spans="1:42">
      <c r="H27" s="3"/>
      <c r="L27" s="49"/>
    </row>
    <row r="28" spans="1:42" ht="12.75" customHeight="1">
      <c r="A28" s="39" t="s">
        <v>456</v>
      </c>
      <c r="B28" s="39"/>
      <c r="C28" s="40"/>
      <c r="D28" s="45"/>
      <c r="E28" s="39"/>
      <c r="F28" s="39"/>
      <c r="G28" s="39"/>
      <c r="H28" s="39"/>
      <c r="I28" s="39"/>
      <c r="J28" s="39"/>
      <c r="K28" s="39"/>
      <c r="L28" s="39"/>
      <c r="M28" s="39"/>
      <c r="N28" s="39"/>
      <c r="O28" s="39"/>
      <c r="P28" s="39"/>
      <c r="Q28" s="39"/>
      <c r="R28" s="39"/>
      <c r="S28" s="39"/>
      <c r="T28" s="39"/>
      <c r="U28" s="39"/>
      <c r="V28" s="40"/>
      <c r="W28" s="39"/>
      <c r="X28" s="39"/>
      <c r="Y28" s="39"/>
      <c r="Z28" s="40"/>
      <c r="AA28" s="40"/>
      <c r="AB28" s="40"/>
      <c r="AC28" s="40"/>
      <c r="AD28" s="40"/>
      <c r="AE28" s="40"/>
      <c r="AF28" s="40"/>
      <c r="AG28" s="40"/>
      <c r="AH28" s="40"/>
      <c r="AI28" s="40"/>
      <c r="AJ28" s="40"/>
      <c r="AK28" s="40"/>
      <c r="AL28" s="40"/>
      <c r="AM28" s="40"/>
      <c r="AN28" s="40"/>
      <c r="AO28" s="40"/>
      <c r="AP28" s="40"/>
    </row>
    <row r="29" spans="1:42">
      <c r="H29" s="3"/>
      <c r="L29" s="49"/>
      <c r="P29" s="49"/>
    </row>
    <row r="30" spans="1:42" ht="12.75" customHeight="1">
      <c r="F30" s="115" t="s">
        <v>456</v>
      </c>
      <c r="G30" s="116"/>
      <c r="H30" s="116"/>
      <c r="I30" s="116"/>
      <c r="J30" s="116"/>
      <c r="K30" s="116"/>
      <c r="L30" s="115"/>
      <c r="M30" s="116"/>
      <c r="N30" s="116"/>
      <c r="O30" s="116"/>
      <c r="P30" s="115"/>
      <c r="Q30" s="116"/>
      <c r="R30" s="116"/>
      <c r="S30" s="116"/>
      <c r="T30" s="116"/>
      <c r="U30" s="116"/>
      <c r="V30" s="116"/>
      <c r="W30" s="117"/>
      <c r="X30" s="117"/>
      <c r="Y30" s="145"/>
      <c r="Z30" s="145"/>
      <c r="AB30" s="144"/>
      <c r="AC30" s="145"/>
      <c r="AD30" s="145"/>
      <c r="AE30" s="145"/>
      <c r="AF30" s="145"/>
      <c r="AG30" s="145"/>
      <c r="AH30" s="145"/>
      <c r="AI30" s="145"/>
      <c r="AJ30" s="145"/>
    </row>
    <row r="31" spans="1:42">
      <c r="H31" s="3"/>
      <c r="L31" s="49"/>
      <c r="P31" s="49"/>
    </row>
    <row r="32" spans="1:42">
      <c r="H32" s="42" t="s">
        <v>457</v>
      </c>
      <c r="I32" s="42"/>
      <c r="J32" s="42"/>
      <c r="K32" s="42"/>
      <c r="L32" s="42" t="s">
        <v>458</v>
      </c>
      <c r="M32" s="42"/>
      <c r="N32" s="42"/>
      <c r="V32" s="42" t="s">
        <v>459</v>
      </c>
      <c r="AB32" s="42"/>
      <c r="AD32" s="42"/>
      <c r="AH32" s="42"/>
    </row>
    <row r="33" spans="1:42">
      <c r="F33" s="62"/>
      <c r="G33" s="63"/>
      <c r="H33" s="63"/>
      <c r="I33" s="63"/>
      <c r="J33" s="63"/>
      <c r="K33" s="63"/>
      <c r="L33" s="64"/>
      <c r="M33" s="63"/>
      <c r="N33" s="63"/>
      <c r="O33" s="63"/>
      <c r="P33" s="63"/>
      <c r="Q33" s="63"/>
      <c r="R33" s="65"/>
      <c r="T33" s="62"/>
      <c r="U33" s="63"/>
      <c r="V33" s="63"/>
      <c r="W33" s="63"/>
      <c r="X33" s="65"/>
    </row>
    <row r="34" spans="1:42">
      <c r="F34" s="48"/>
      <c r="H34" s="3"/>
      <c r="L34" s="49"/>
      <c r="R34" s="50"/>
      <c r="T34" s="48"/>
      <c r="X34" s="50"/>
    </row>
    <row r="35" spans="1:42" ht="13.5" thickBot="1">
      <c r="F35" s="48"/>
      <c r="G35" s="66"/>
      <c r="H35" s="67"/>
      <c r="I35" s="98"/>
      <c r="K35" s="66"/>
      <c r="L35" s="67"/>
      <c r="M35" s="98"/>
      <c r="O35" s="68"/>
      <c r="P35" s="70"/>
      <c r="R35" s="72"/>
      <c r="T35" s="48"/>
      <c r="U35" s="68"/>
      <c r="V35" s="69"/>
      <c r="W35" s="70"/>
      <c r="X35" s="50"/>
    </row>
    <row r="36" spans="1:42" ht="18" customHeight="1" thickBot="1">
      <c r="A36" s="89"/>
      <c r="B36" s="89"/>
      <c r="C36" s="89"/>
      <c r="D36" s="89"/>
      <c r="E36" s="89"/>
      <c r="F36" s="90"/>
      <c r="G36" s="91"/>
      <c r="H36" s="118" t="e">
        <f ca="1">Inputs!$A$1</f>
        <v>#VALUE!</v>
      </c>
      <c r="I36" s="92"/>
      <c r="J36" s="89"/>
      <c r="K36" s="91"/>
      <c r="L36" s="135" t="e">
        <f ca="1">Time!$A$1</f>
        <v>#VALUE!</v>
      </c>
      <c r="M36" s="92"/>
      <c r="O36" s="94"/>
      <c r="P36" s="176" t="e">
        <f ca="1">Summary_Output!$A$1</f>
        <v>#VALUE!</v>
      </c>
      <c r="R36" s="95"/>
      <c r="T36" s="90"/>
      <c r="U36" s="94"/>
      <c r="V36" s="135" t="e">
        <f ca="1" xml:space="preserve"> $A$1</f>
        <v>#VALUE!</v>
      </c>
      <c r="W36" s="95"/>
      <c r="X36" s="93"/>
      <c r="AA36" s="89"/>
      <c r="AB36" s="89"/>
      <c r="AD36" s="141"/>
      <c r="AE36" s="89"/>
      <c r="AF36" s="89"/>
      <c r="AG36" s="89"/>
      <c r="AH36" s="141"/>
      <c r="AI36" s="89"/>
      <c r="AJ36" s="89"/>
      <c r="AK36" s="89"/>
      <c r="AL36" s="89"/>
      <c r="AM36" s="89"/>
      <c r="AN36" s="89"/>
      <c r="AO36" s="89"/>
      <c r="AP36" s="89"/>
    </row>
    <row r="37" spans="1:42" ht="51">
      <c r="F37" s="48"/>
      <c r="G37" s="101"/>
      <c r="H37" s="103" t="s">
        <v>460</v>
      </c>
      <c r="I37" s="102"/>
      <c r="K37" s="101"/>
      <c r="L37" s="103" t="s">
        <v>461</v>
      </c>
      <c r="M37" s="102"/>
      <c r="O37" s="71"/>
      <c r="P37" s="174" t="s">
        <v>462</v>
      </c>
      <c r="R37" s="72"/>
      <c r="T37" s="48"/>
      <c r="U37" s="71"/>
      <c r="V37" s="103" t="s">
        <v>463</v>
      </c>
      <c r="W37" s="72"/>
      <c r="X37" s="50"/>
      <c r="AD37" s="103"/>
      <c r="AH37" s="103"/>
    </row>
    <row r="38" spans="1:42" ht="13.5" thickBot="1">
      <c r="F38" s="48"/>
      <c r="G38" s="73"/>
      <c r="H38" s="99"/>
      <c r="I38" s="100"/>
      <c r="K38" s="101"/>
      <c r="L38" s="49"/>
      <c r="M38" s="102"/>
      <c r="O38" s="138"/>
      <c r="P38" s="175"/>
      <c r="R38" s="72"/>
      <c r="T38" s="48"/>
      <c r="U38" s="138"/>
      <c r="V38" s="99"/>
      <c r="W38" s="100"/>
      <c r="X38" s="50"/>
    </row>
    <row r="39" spans="1:42" ht="18" customHeight="1" thickBot="1">
      <c r="A39" s="89"/>
      <c r="B39" s="89"/>
      <c r="C39" s="89"/>
      <c r="D39" s="89"/>
      <c r="E39" s="89"/>
      <c r="F39" s="90"/>
      <c r="G39" s="96"/>
      <c r="H39" s="97"/>
      <c r="I39" s="96"/>
      <c r="J39" s="89"/>
      <c r="K39" s="91"/>
      <c r="L39" s="135" t="e">
        <f ca="1">Indexation!$A$1</f>
        <v>#VALUE!</v>
      </c>
      <c r="M39" s="92"/>
      <c r="R39" s="93"/>
      <c r="T39" s="90"/>
      <c r="U39" s="158"/>
      <c r="V39" s="159"/>
      <c r="W39" s="158"/>
      <c r="X39" s="93"/>
      <c r="AA39" s="89"/>
      <c r="AB39" s="89"/>
      <c r="AD39" s="141"/>
      <c r="AE39" s="89"/>
      <c r="AF39" s="89"/>
      <c r="AG39" s="89"/>
      <c r="AH39" s="141"/>
      <c r="AI39" s="89"/>
      <c r="AJ39" s="89"/>
      <c r="AK39" s="89"/>
      <c r="AL39" s="89"/>
      <c r="AM39" s="89"/>
      <c r="AN39" s="89"/>
      <c r="AO39" s="89"/>
      <c r="AP39" s="89"/>
    </row>
    <row r="40" spans="1:42" ht="60" customHeight="1">
      <c r="F40" s="48"/>
      <c r="G40" s="96"/>
      <c r="H40" s="97"/>
      <c r="I40" s="96"/>
      <c r="K40" s="101"/>
      <c r="L40" s="103" t="s">
        <v>464</v>
      </c>
      <c r="M40" s="102"/>
      <c r="R40" s="50"/>
      <c r="T40" s="48"/>
      <c r="X40" s="50"/>
      <c r="AD40" s="103"/>
      <c r="AH40" s="103"/>
    </row>
    <row r="41" spans="1:42" ht="13.5" thickBot="1">
      <c r="F41" s="48"/>
      <c r="G41" s="17"/>
      <c r="H41" s="103"/>
      <c r="K41" s="101"/>
      <c r="L41" s="49"/>
      <c r="M41" s="102"/>
      <c r="R41" s="50"/>
      <c r="T41" s="48"/>
      <c r="X41" s="50"/>
    </row>
    <row r="42" spans="1:42" ht="18" customHeight="1" thickBot="1">
      <c r="F42" s="48"/>
      <c r="G42" s="96"/>
      <c r="H42" s="97"/>
      <c r="I42" s="96"/>
      <c r="K42" s="91"/>
      <c r="L42" s="135" t="e">
        <f ca="1">Calc!$A$1</f>
        <v>#VALUE!</v>
      </c>
      <c r="M42" s="92"/>
      <c r="R42" s="50"/>
      <c r="T42" s="48"/>
      <c r="V42" s="103"/>
      <c r="X42" s="50"/>
      <c r="AD42" s="103"/>
      <c r="AH42" s="103"/>
    </row>
    <row r="43" spans="1:42" ht="60" customHeight="1">
      <c r="F43" s="48"/>
      <c r="G43" s="96"/>
      <c r="H43" s="97"/>
      <c r="I43" s="96"/>
      <c r="K43" s="101"/>
      <c r="L43" s="103" t="s">
        <v>465</v>
      </c>
      <c r="M43" s="102"/>
      <c r="R43" s="50"/>
      <c r="T43" s="48"/>
      <c r="V43" s="103"/>
      <c r="X43" s="50"/>
      <c r="AD43" s="103"/>
      <c r="AH43" s="103"/>
    </row>
    <row r="44" spans="1:42" ht="13.5" thickBot="1">
      <c r="F44" s="48"/>
      <c r="G44" s="17"/>
      <c r="H44" s="103"/>
      <c r="K44" s="101"/>
      <c r="L44" s="49"/>
      <c r="M44" s="102"/>
      <c r="R44" s="50"/>
      <c r="T44" s="48"/>
      <c r="X44" s="50"/>
    </row>
    <row r="45" spans="1:42" ht="15.75" thickBot="1">
      <c r="F45" s="48"/>
      <c r="G45" s="17"/>
      <c r="H45" s="103"/>
      <c r="K45" s="101"/>
      <c r="L45" s="135" t="e">
        <f ca="1">Profiling!$A$1</f>
        <v>#VALUE!</v>
      </c>
      <c r="M45" s="102"/>
      <c r="R45" s="50"/>
      <c r="T45" s="48"/>
      <c r="X45" s="50"/>
    </row>
    <row r="46" spans="1:42" ht="54" customHeight="1">
      <c r="F46" s="48"/>
      <c r="G46" s="17"/>
      <c r="H46" s="103"/>
      <c r="K46" s="101"/>
      <c r="L46" s="103" t="s">
        <v>466</v>
      </c>
      <c r="M46" s="102"/>
      <c r="R46" s="50"/>
      <c r="T46" s="48"/>
      <c r="X46" s="50"/>
    </row>
    <row r="47" spans="1:42" ht="13.5" thickBot="1">
      <c r="F47" s="48"/>
      <c r="G47" s="17"/>
      <c r="H47" s="103"/>
      <c r="K47" s="101"/>
      <c r="L47" s="49"/>
      <c r="M47" s="102"/>
      <c r="R47" s="50"/>
      <c r="T47" s="48"/>
      <c r="X47" s="50"/>
    </row>
    <row r="48" spans="1:42" ht="15.75" thickBot="1">
      <c r="F48" s="48"/>
      <c r="G48" s="17"/>
      <c r="H48" s="103"/>
      <c r="K48" s="101"/>
      <c r="L48" s="135" t="e">
        <f ca="1">'FM Proportion Calc'!A1</f>
        <v>#VALUE!</v>
      </c>
      <c r="M48" s="102"/>
      <c r="R48" s="50"/>
      <c r="T48" s="48"/>
      <c r="X48" s="50"/>
    </row>
    <row r="49" spans="1:42" ht="54" customHeight="1">
      <c r="F49" s="48"/>
      <c r="G49" s="17"/>
      <c r="H49" s="103"/>
      <c r="K49" s="101"/>
      <c r="L49" s="103" t="s">
        <v>467</v>
      </c>
      <c r="M49" s="102"/>
      <c r="R49" s="50"/>
      <c r="T49" s="48"/>
      <c r="X49" s="50"/>
    </row>
    <row r="50" spans="1:42" ht="13.5" customHeight="1">
      <c r="F50" s="48"/>
      <c r="G50" s="96"/>
      <c r="H50" s="97"/>
      <c r="I50" s="96"/>
      <c r="K50" s="138"/>
      <c r="L50" s="99"/>
      <c r="M50" s="100"/>
      <c r="R50" s="50"/>
      <c r="T50" s="48"/>
      <c r="V50" s="103"/>
      <c r="X50" s="50"/>
      <c r="AD50" s="103"/>
      <c r="AH50" s="103"/>
    </row>
    <row r="51" spans="1:42">
      <c r="F51" s="57"/>
      <c r="G51" s="58"/>
      <c r="H51" s="58"/>
      <c r="I51" s="58"/>
      <c r="J51" s="58"/>
      <c r="K51" s="74"/>
      <c r="L51" s="59"/>
      <c r="M51" s="58"/>
      <c r="N51" s="58"/>
      <c r="O51" s="58"/>
      <c r="P51" s="58"/>
      <c r="Q51" s="58"/>
      <c r="R51" s="60"/>
      <c r="T51" s="57"/>
      <c r="U51" s="58"/>
      <c r="V51" s="58"/>
      <c r="W51" s="58"/>
      <c r="X51" s="60"/>
    </row>
    <row r="54" spans="1:42" ht="12.75" customHeight="1">
      <c r="A54" s="39" t="s">
        <v>468</v>
      </c>
      <c r="B54" s="39"/>
      <c r="C54" s="40"/>
      <c r="D54" s="45"/>
      <c r="E54" s="39"/>
      <c r="F54" s="39"/>
      <c r="G54" s="39"/>
      <c r="H54" s="39"/>
      <c r="I54" s="39"/>
      <c r="J54" s="39"/>
      <c r="K54" s="39"/>
      <c r="L54" s="39"/>
      <c r="M54" s="39"/>
      <c r="N54" s="39"/>
      <c r="O54" s="39"/>
      <c r="P54" s="39"/>
      <c r="Q54" s="39"/>
      <c r="R54" s="39"/>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1:42">
      <c r="B55" s="10"/>
      <c r="C55" s="2"/>
      <c r="D55" s="17"/>
      <c r="E55" s="75"/>
      <c r="H55" s="3"/>
    </row>
    <row r="56" spans="1:42">
      <c r="B56" s="10"/>
      <c r="C56" s="2"/>
      <c r="D56" s="17"/>
      <c r="H56" s="119" t="s">
        <v>469</v>
      </c>
      <c r="J56" s="3" t="s">
        <v>470</v>
      </c>
    </row>
    <row r="57" spans="1:42">
      <c r="B57" s="10"/>
      <c r="C57" s="2"/>
      <c r="D57" s="17"/>
      <c r="H57" s="76"/>
    </row>
    <row r="58" spans="1:42">
      <c r="B58" s="10"/>
      <c r="C58" s="2"/>
      <c r="D58" s="17"/>
      <c r="H58" s="120" t="s">
        <v>471</v>
      </c>
      <c r="J58" s="3" t="s">
        <v>472</v>
      </c>
    </row>
    <row r="59" spans="1:42">
      <c r="B59" s="10"/>
      <c r="C59" s="2"/>
      <c r="D59" s="17"/>
      <c r="H59" s="76"/>
    </row>
    <row r="60" spans="1:42">
      <c r="B60" s="10"/>
      <c r="C60" s="2"/>
      <c r="D60" s="17"/>
      <c r="H60" s="77" t="s">
        <v>473</v>
      </c>
      <c r="J60" s="3" t="s">
        <v>474</v>
      </c>
    </row>
    <row r="61" spans="1:42">
      <c r="B61" s="10"/>
      <c r="C61" s="2"/>
      <c r="D61" s="17"/>
      <c r="H61" s="76"/>
    </row>
    <row r="62" spans="1:42">
      <c r="B62" s="10"/>
      <c r="C62" s="2"/>
      <c r="D62" s="17"/>
      <c r="H62" s="78" t="s">
        <v>475</v>
      </c>
      <c r="J62" s="3" t="s">
        <v>476</v>
      </c>
    </row>
    <row r="63" spans="1:42">
      <c r="B63" s="10"/>
      <c r="C63" s="2"/>
      <c r="D63" s="17"/>
      <c r="H63" s="76"/>
    </row>
    <row r="64" spans="1:42">
      <c r="B64" s="10"/>
      <c r="C64" s="2"/>
      <c r="D64" s="17"/>
      <c r="H64" s="79" t="s">
        <v>477</v>
      </c>
      <c r="J64" s="3" t="s">
        <v>478</v>
      </c>
    </row>
    <row r="65" spans="1:42">
      <c r="B65" s="10"/>
      <c r="C65" s="2"/>
      <c r="D65" s="17"/>
      <c r="H65" s="3"/>
    </row>
    <row r="66" spans="1:42">
      <c r="B66" s="10"/>
      <c r="C66" s="2"/>
      <c r="D66" s="17"/>
      <c r="H66" s="3"/>
    </row>
    <row r="67" spans="1:42" ht="12.75" customHeight="1">
      <c r="A67" s="39" t="s">
        <v>479</v>
      </c>
      <c r="B67" s="39"/>
      <c r="C67" s="40"/>
      <c r="D67" s="45"/>
      <c r="E67" s="39"/>
      <c r="F67" s="39"/>
      <c r="G67" s="39"/>
      <c r="H67" s="39"/>
      <c r="I67" s="39"/>
      <c r="J67" s="39"/>
      <c r="K67" s="39"/>
      <c r="L67" s="39"/>
      <c r="M67" s="39"/>
      <c r="N67" s="39"/>
      <c r="O67" s="39"/>
      <c r="P67" s="39"/>
      <c r="Q67" s="39"/>
      <c r="R67" s="39"/>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row>
    <row r="68" spans="1:42">
      <c r="B68" s="10"/>
      <c r="C68" s="2"/>
      <c r="D68" s="17"/>
      <c r="H68" s="3"/>
    </row>
    <row r="69" spans="1:42">
      <c r="B69" s="10" t="s">
        <v>480</v>
      </c>
      <c r="C69" s="2"/>
      <c r="D69" s="17"/>
      <c r="H69" s="3"/>
    </row>
    <row r="70" spans="1:42">
      <c r="B70" s="10"/>
      <c r="C70" s="2"/>
      <c r="D70" s="17"/>
      <c r="H70" s="80" t="s">
        <v>481</v>
      </c>
      <c r="J70" s="3" t="s">
        <v>482</v>
      </c>
    </row>
    <row r="71" spans="1:42">
      <c r="B71" s="10"/>
      <c r="C71" s="2"/>
      <c r="D71" s="17"/>
      <c r="H71" s="3"/>
    </row>
    <row r="72" spans="1:42">
      <c r="B72" s="10"/>
      <c r="C72" s="2"/>
      <c r="D72" s="17"/>
      <c r="H72" s="81" t="s">
        <v>483</v>
      </c>
      <c r="J72" s="3" t="s">
        <v>484</v>
      </c>
    </row>
    <row r="73" spans="1:42">
      <c r="B73" s="10"/>
      <c r="C73" s="2"/>
      <c r="D73" s="17"/>
      <c r="H73" s="3"/>
    </row>
    <row r="74" spans="1:42">
      <c r="B74" s="10"/>
      <c r="C74" s="2"/>
      <c r="D74" s="17"/>
      <c r="H74" s="3" t="s">
        <v>485</v>
      </c>
      <c r="J74" s="3" t="s">
        <v>486</v>
      </c>
    </row>
    <row r="75" spans="1:42">
      <c r="B75" s="10"/>
      <c r="C75" s="2"/>
      <c r="D75" s="17"/>
      <c r="H75" s="3"/>
    </row>
    <row r="76" spans="1:42">
      <c r="B76" s="10" t="s">
        <v>487</v>
      </c>
      <c r="C76" s="2"/>
      <c r="D76" s="17"/>
      <c r="H76" s="3"/>
    </row>
    <row r="77" spans="1:42">
      <c r="B77" s="10"/>
      <c r="C77" s="2"/>
      <c r="D77" s="17"/>
      <c r="H77" s="121" t="s">
        <v>488</v>
      </c>
      <c r="J77" s="3" t="s">
        <v>449</v>
      </c>
    </row>
    <row r="78" spans="1:42">
      <c r="B78" s="10"/>
      <c r="C78" s="2"/>
      <c r="D78" s="17"/>
      <c r="H78" s="3"/>
    </row>
    <row r="79" spans="1:42">
      <c r="B79" s="10"/>
      <c r="C79" s="2"/>
      <c r="D79" s="17"/>
      <c r="H79" s="104" t="s">
        <v>489</v>
      </c>
      <c r="J79" s="3" t="s">
        <v>490</v>
      </c>
    </row>
    <row r="80" spans="1:42">
      <c r="B80" s="10"/>
      <c r="C80" s="2"/>
      <c r="D80" s="17"/>
      <c r="H80" s="3"/>
    </row>
    <row r="81" spans="2:10">
      <c r="B81" s="10"/>
      <c r="C81" s="2"/>
      <c r="D81" s="17"/>
      <c r="H81" s="122" t="s">
        <v>491</v>
      </c>
      <c r="J81" s="3" t="s">
        <v>492</v>
      </c>
    </row>
    <row r="82" spans="2:10">
      <c r="B82" s="10"/>
      <c r="C82" s="2"/>
      <c r="D82" s="17"/>
      <c r="H82" s="3"/>
    </row>
    <row r="83" spans="2:10">
      <c r="B83" s="10"/>
      <c r="C83" s="2"/>
      <c r="D83" s="17"/>
      <c r="H83" s="104" t="s">
        <v>493</v>
      </c>
      <c r="J83" s="3" t="s">
        <v>494</v>
      </c>
    </row>
    <row r="84" spans="2:10">
      <c r="B84" s="10"/>
      <c r="C84" s="2"/>
      <c r="D84" s="17"/>
      <c r="H84" s="3"/>
    </row>
    <row r="85" spans="2:10">
      <c r="B85" s="10" t="s">
        <v>495</v>
      </c>
      <c r="C85" s="2"/>
      <c r="D85" s="17"/>
      <c r="H85" s="3"/>
    </row>
    <row r="86" spans="2:10">
      <c r="B86" s="10"/>
      <c r="C86" s="2"/>
      <c r="D86" s="17"/>
      <c r="H86" s="82" t="s">
        <v>496</v>
      </c>
      <c r="J86" s="3" t="s">
        <v>497</v>
      </c>
    </row>
    <row r="87" spans="2:10">
      <c r="B87" s="10"/>
      <c r="C87" s="2"/>
      <c r="D87" s="17"/>
      <c r="H87" s="3"/>
    </row>
    <row r="88" spans="2:10">
      <c r="B88" s="10"/>
      <c r="C88" s="2"/>
      <c r="D88" s="17"/>
      <c r="H88" s="83" t="s">
        <v>498</v>
      </c>
      <c r="J88" s="3" t="s">
        <v>499</v>
      </c>
    </row>
    <row r="89" spans="2:10">
      <c r="B89" s="10"/>
      <c r="C89" s="2"/>
      <c r="D89" s="17"/>
      <c r="H89" s="3"/>
    </row>
    <row r="90" spans="2:10">
      <c r="B90" s="10"/>
      <c r="C90" s="2"/>
      <c r="D90" s="17"/>
      <c r="H90" s="84" t="s">
        <v>500</v>
      </c>
      <c r="J90" s="3" t="s">
        <v>501</v>
      </c>
    </row>
    <row r="91" spans="2:10">
      <c r="B91" s="10"/>
      <c r="C91" s="2"/>
      <c r="D91" s="17"/>
      <c r="H91" s="3"/>
    </row>
    <row r="92" spans="2:10">
      <c r="B92" s="10"/>
      <c r="C92" s="2"/>
      <c r="D92" s="17"/>
      <c r="H92" s="85" t="s">
        <v>502</v>
      </c>
      <c r="J92" s="3" t="s">
        <v>503</v>
      </c>
    </row>
    <row r="93" spans="2:10">
      <c r="B93" s="10"/>
      <c r="C93" s="2"/>
      <c r="D93" s="17"/>
      <c r="H93" s="3"/>
    </row>
    <row r="94" spans="2:10">
      <c r="B94" s="10"/>
      <c r="C94" s="2"/>
      <c r="D94" s="17"/>
      <c r="H94" s="123" t="s">
        <v>504</v>
      </c>
      <c r="J94" s="3" t="s">
        <v>505</v>
      </c>
    </row>
    <row r="95" spans="2:10">
      <c r="B95" s="10"/>
      <c r="C95" s="2"/>
      <c r="D95" s="17"/>
      <c r="H95" s="3"/>
    </row>
    <row r="96" spans="2:10">
      <c r="B96" s="10" t="s">
        <v>506</v>
      </c>
      <c r="C96" s="2"/>
      <c r="D96" s="17"/>
      <c r="H96" s="3"/>
    </row>
    <row r="97" spans="1:42">
      <c r="B97" s="10"/>
      <c r="C97" s="2"/>
      <c r="D97" s="17"/>
      <c r="H97" s="134" t="s">
        <v>507</v>
      </c>
      <c r="J97" s="3" t="s">
        <v>508</v>
      </c>
    </row>
    <row r="98" spans="1:42">
      <c r="B98" s="10"/>
      <c r="C98" s="2"/>
      <c r="D98" s="17"/>
      <c r="H98" s="3"/>
    </row>
    <row r="99" spans="1:42">
      <c r="B99" s="10"/>
      <c r="C99" s="2"/>
      <c r="D99" s="17"/>
      <c r="H99" s="86" t="s">
        <v>509</v>
      </c>
      <c r="J99" s="3" t="s">
        <v>510</v>
      </c>
    </row>
    <row r="100" spans="1:42">
      <c r="B100" s="10"/>
      <c r="C100" s="2"/>
      <c r="D100" s="17"/>
      <c r="H100" s="3"/>
    </row>
    <row r="101" spans="1:42">
      <c r="B101" s="10"/>
      <c r="C101" s="2"/>
      <c r="D101" s="17"/>
      <c r="H101" s="87" t="s">
        <v>511</v>
      </c>
      <c r="J101" s="3" t="s">
        <v>512</v>
      </c>
    </row>
    <row r="102" spans="1:42">
      <c r="B102" s="10"/>
      <c r="C102" s="2"/>
      <c r="D102" s="17"/>
      <c r="H102" s="3"/>
    </row>
    <row r="103" spans="1:42">
      <c r="B103" s="10"/>
      <c r="C103" s="2"/>
      <c r="E103" s="75"/>
      <c r="G103" s="75"/>
      <c r="H103" s="3"/>
    </row>
    <row r="104" spans="1:42" ht="12.75" customHeight="1">
      <c r="A104" s="39" t="s">
        <v>513</v>
      </c>
      <c r="B104" s="39"/>
      <c r="C104" s="40"/>
      <c r="D104" s="45"/>
      <c r="E104" s="39"/>
      <c r="F104" s="39"/>
      <c r="G104" s="39"/>
      <c r="H104" s="39"/>
      <c r="I104" s="39"/>
      <c r="J104" s="39"/>
      <c r="K104" s="39"/>
      <c r="L104" s="39"/>
      <c r="M104" s="39"/>
      <c r="N104" s="39"/>
      <c r="O104" s="39"/>
      <c r="P104" s="39"/>
      <c r="Q104" s="39"/>
      <c r="R104" s="39"/>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row>
    <row r="105" spans="1:42">
      <c r="B105" s="10"/>
      <c r="C105" s="2"/>
      <c r="D105" s="17"/>
      <c r="H105" s="3"/>
    </row>
    <row r="106" spans="1:42">
      <c r="B106" s="10"/>
      <c r="C106" s="2"/>
      <c r="D106" s="17"/>
      <c r="H106" s="3" t="s">
        <v>514</v>
      </c>
      <c r="I106" s="3" t="s">
        <v>515</v>
      </c>
    </row>
    <row r="107" spans="1:42">
      <c r="B107" s="10"/>
      <c r="C107" s="2"/>
      <c r="D107" s="17"/>
      <c r="H107" s="3" t="s">
        <v>516</v>
      </c>
      <c r="I107" s="3" t="s">
        <v>517</v>
      </c>
    </row>
    <row r="108" spans="1:42">
      <c r="B108" s="10"/>
      <c r="C108" s="2"/>
      <c r="D108" s="17"/>
      <c r="H108" s="3" t="s">
        <v>518</v>
      </c>
      <c r="I108" s="3" t="s">
        <v>519</v>
      </c>
    </row>
    <row r="109" spans="1:42">
      <c r="B109" s="10"/>
      <c r="C109" s="2"/>
      <c r="D109" s="17"/>
      <c r="H109" s="3" t="s">
        <v>520</v>
      </c>
      <c r="I109" s="3" t="s">
        <v>521</v>
      </c>
    </row>
    <row r="110" spans="1:42">
      <c r="B110" s="10"/>
      <c r="C110" s="2"/>
      <c r="D110" s="17"/>
      <c r="H110" s="3" t="s">
        <v>522</v>
      </c>
      <c r="I110" s="3" t="s">
        <v>523</v>
      </c>
    </row>
    <row r="111" spans="1:42">
      <c r="B111" s="10"/>
      <c r="C111" s="2"/>
      <c r="D111" s="17"/>
      <c r="H111" s="3" t="s">
        <v>524</v>
      </c>
      <c r="I111" s="3" t="s">
        <v>525</v>
      </c>
    </row>
    <row r="112" spans="1:42">
      <c r="B112" s="10"/>
      <c r="C112" s="2"/>
      <c r="D112" s="17"/>
      <c r="H112" s="3" t="s">
        <v>526</v>
      </c>
      <c r="I112" s="3" t="s">
        <v>527</v>
      </c>
    </row>
    <row r="113" spans="1:42">
      <c r="B113" s="10"/>
      <c r="C113" s="2"/>
      <c r="D113" s="17"/>
      <c r="H113" s="3"/>
    </row>
    <row r="114" spans="1:42">
      <c r="B114" s="10"/>
      <c r="C114" s="2"/>
      <c r="D114" s="17"/>
      <c r="H114" s="3"/>
    </row>
    <row r="115" spans="1:42" ht="12.75" customHeight="1">
      <c r="A115" s="39" t="s">
        <v>528</v>
      </c>
      <c r="B115" s="39"/>
      <c r="C115" s="40"/>
      <c r="D115" s="45"/>
      <c r="E115" s="39"/>
      <c r="F115" s="39"/>
      <c r="G115" s="39"/>
      <c r="H115" s="39"/>
      <c r="I115" s="39"/>
      <c r="J115" s="39"/>
      <c r="K115" s="39"/>
      <c r="L115" s="39"/>
      <c r="M115" s="39"/>
      <c r="N115" s="39"/>
      <c r="O115" s="39"/>
      <c r="P115" s="39"/>
      <c r="Q115" s="39"/>
      <c r="R115" s="39"/>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row>
    <row r="116" spans="1:42">
      <c r="B116" s="10"/>
      <c r="C116" s="2"/>
      <c r="D116" s="17"/>
      <c r="H116" s="3"/>
    </row>
    <row r="117" spans="1:42">
      <c r="B117" s="10"/>
      <c r="C117" s="2"/>
      <c r="D117" s="17"/>
      <c r="H117" s="3" t="s">
        <v>529</v>
      </c>
    </row>
    <row r="118" spans="1:42">
      <c r="B118" s="10"/>
      <c r="C118" s="2"/>
      <c r="D118" s="17"/>
      <c r="H118" s="3"/>
    </row>
    <row r="119" spans="1:42">
      <c r="B119" s="10"/>
      <c r="C119" s="2"/>
      <c r="D119" s="17"/>
      <c r="H119" s="3"/>
    </row>
    <row r="120" spans="1:42" ht="12.75" customHeight="1">
      <c r="A120" s="39" t="s">
        <v>530</v>
      </c>
      <c r="B120" s="39"/>
      <c r="C120" s="40"/>
      <c r="D120" s="45"/>
      <c r="E120" s="39"/>
      <c r="F120" s="39"/>
      <c r="G120" s="39"/>
      <c r="H120" s="39"/>
      <c r="I120" s="39"/>
      <c r="J120" s="39"/>
      <c r="K120" s="39"/>
      <c r="L120" s="39"/>
      <c r="M120" s="39"/>
      <c r="N120" s="39"/>
      <c r="O120" s="39"/>
      <c r="P120" s="39"/>
      <c r="Q120" s="39"/>
      <c r="R120" s="39"/>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row>
    <row r="121" spans="1:42">
      <c r="B121" s="10"/>
      <c r="C121" s="2"/>
      <c r="D121" s="17"/>
      <c r="H121" s="3"/>
    </row>
    <row r="122" spans="1:42">
      <c r="B122" s="10"/>
      <c r="C122" s="2"/>
      <c r="D122" s="17"/>
      <c r="H122" s="3" t="s">
        <v>531</v>
      </c>
      <c r="J122" s="3" t="s">
        <v>532</v>
      </c>
    </row>
    <row r="123" spans="1:42">
      <c r="B123" s="10"/>
      <c r="C123" s="2"/>
      <c r="D123" s="17"/>
      <c r="H123" s="3" t="s">
        <v>533</v>
      </c>
      <c r="J123" s="3" t="s">
        <v>534</v>
      </c>
    </row>
    <row r="124" spans="1:42">
      <c r="B124" s="10"/>
      <c r="C124" s="2"/>
      <c r="D124" s="17"/>
      <c r="H124" s="3" t="s">
        <v>535</v>
      </c>
      <c r="J124" s="3" t="s">
        <v>536</v>
      </c>
    </row>
    <row r="125" spans="1:42">
      <c r="B125" s="10"/>
      <c r="C125" s="2"/>
      <c r="D125" s="17"/>
      <c r="H125" s="3"/>
    </row>
    <row r="127" spans="1:42">
      <c r="A127" s="10" t="s">
        <v>423</v>
      </c>
    </row>
  </sheetData>
  <sortState xmlns:xlrd2="http://schemas.microsoft.com/office/spreadsheetml/2017/richdata2" ref="H165:I209">
    <sortCondition ref="H165"/>
  </sortState>
  <conditionalFormatting sqref="AD32">
    <cfRule type="cellIs" dxfId="57" priority="13" stopIfTrue="1" operator="equal">
      <formula>"FEED"</formula>
    </cfRule>
    <cfRule type="cellIs" dxfId="56" priority="14" stopIfTrue="1" operator="equal">
      <formula>"EPC"</formula>
    </cfRule>
    <cfRule type="cellIs" dxfId="55" priority="15" stopIfTrue="1" operator="equal">
      <formula>"Operations"</formula>
    </cfRule>
  </conditionalFormatting>
  <conditionalFormatting sqref="AH32">
    <cfRule type="cellIs" dxfId="54" priority="10" stopIfTrue="1" operator="equal">
      <formula>"FEED"</formula>
    </cfRule>
    <cfRule type="cellIs" dxfId="53" priority="11" stopIfTrue="1" operator="equal">
      <formula>"EPC"</formula>
    </cfRule>
    <cfRule type="cellIs" dxfId="52" priority="12" stopIfTrue="1" operator="equal">
      <formula>"Operations"</formula>
    </cfRule>
  </conditionalFormatting>
  <conditionalFormatting sqref="V32">
    <cfRule type="cellIs" dxfId="51" priority="7" stopIfTrue="1" operator="equal">
      <formula>"FEED"</formula>
    </cfRule>
    <cfRule type="cellIs" dxfId="50" priority="8" stopIfTrue="1" operator="equal">
      <formula>"EPC"</formula>
    </cfRule>
    <cfRule type="cellIs" dxfId="49" priority="9" stopIfTrue="1" operator="equal">
      <formula>"Operations"</formula>
    </cfRule>
  </conditionalFormatting>
  <conditionalFormatting sqref="AB32">
    <cfRule type="cellIs" dxfId="48" priority="1" stopIfTrue="1" operator="equal">
      <formula>"FEED"</formula>
    </cfRule>
    <cfRule type="cellIs" dxfId="47" priority="2" stopIfTrue="1" operator="equal">
      <formula>"EPC"</formula>
    </cfRule>
    <cfRule type="cellIs" dxfId="46" priority="3" stopIfTrue="1" operator="equal">
      <formula>"Operations"</formula>
    </cfRule>
  </conditionalFormatting>
  <hyperlinks>
    <hyperlink ref="J123" r:id="rId1" display="javascript:AppendPopup(this,'785243203_2')" xr:uid="{00000000-0004-0000-0600-000000000000}"/>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FFFF99"/>
    <outlinePr summaryBelow="0" summaryRight="0"/>
    <pageSetUpPr autoPageBreaks="0" fitToPage="1"/>
  </sheetPr>
  <dimension ref="A1:V166"/>
  <sheetViews>
    <sheetView showGridLines="0" tabSelected="1" defaultGridColor="0" colorId="22" zoomScale="80" zoomScaleNormal="80" workbookViewId="0">
      <pane xSplit="9" ySplit="5" topLeftCell="J6" activePane="bottomRight" state="frozen"/>
      <selection pane="bottomRight" activeCell="F115" sqref="F115"/>
      <selection pane="bottomLeft" activeCell="D4" sqref="D4"/>
      <selection pane="topRight" activeCell="D4" sqref="D4"/>
    </sheetView>
  </sheetViews>
  <sheetFormatPr defaultColWidth="0" defaultRowHeight="12.75" outlineLevelRow="1"/>
  <cols>
    <col min="1" max="1" width="22.42578125" style="10" customWidth="1"/>
    <col min="2" max="2" width="1.7109375" style="10" customWidth="1"/>
    <col min="3" max="3" width="1.7109375" style="2" customWidth="1"/>
    <col min="4" max="4" width="1.7109375" style="3" customWidth="1"/>
    <col min="5" max="5" width="99.85546875" style="3" bestFit="1" customWidth="1"/>
    <col min="6" max="7" width="12.7109375" style="3" customWidth="1"/>
    <col min="8" max="8" width="15.7109375" style="3" customWidth="1"/>
    <col min="9" max="9" width="2.7109375" style="3" customWidth="1"/>
    <col min="10" max="22" width="12.7109375" style="3" customWidth="1"/>
    <col min="23" max="16384" width="9.140625" hidden="1"/>
  </cols>
  <sheetData>
    <row r="1" spans="1:22" ht="26.25">
      <c r="A1" s="26" t="e">
        <f ca="1" xml:space="preserve"> RIGHT(CELL("FILENAME", $A$1), LEN(CELL("FILENAME", $A$1)) - SEARCH("]", CELL("FILENAME", $A$1)))</f>
        <v>#VALUE!</v>
      </c>
      <c r="E1" s="88"/>
      <c r="F1" s="139"/>
      <c r="G1" s="139"/>
      <c r="H1" s="139"/>
      <c r="J1" s="88"/>
    </row>
    <row r="2" spans="1:22">
      <c r="E2" s="3" t="str">
        <f xml:space="preserve"> Time!E$25</f>
        <v>Model period ending</v>
      </c>
      <c r="F2" s="134">
        <f>Checks!F$11</f>
        <v>1</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c r="A5" s="396">
        <f xml:space="preserve"> IF(COUNTIF(A6:A166,"&lt; 0") + COUNTIF(A6:A166,"&gt;0") &lt;&gt; 0, 1, 0)</f>
        <v>0</v>
      </c>
      <c r="D5" s="10" t="s">
        <v>537</v>
      </c>
      <c r="E5" s="3" t="str">
        <f xml:space="preserve"> Time!E$10</f>
        <v>Model column counter</v>
      </c>
      <c r="F5" s="29" t="s">
        <v>538</v>
      </c>
      <c r="G5" s="10" t="s">
        <v>105</v>
      </c>
      <c r="H5" s="29" t="s">
        <v>539</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6" spans="1:22" s="131" customFormat="1">
      <c r="A6" s="125"/>
      <c r="B6" s="125"/>
      <c r="C6" s="132"/>
      <c r="D6" s="104"/>
      <c r="E6" s="104" t="s">
        <v>540</v>
      </c>
      <c r="F6" s="137"/>
      <c r="G6" s="125"/>
      <c r="H6" s="137"/>
      <c r="I6" s="104"/>
      <c r="J6" s="104"/>
      <c r="K6" s="104"/>
      <c r="L6" s="104"/>
      <c r="M6" s="104"/>
      <c r="N6" s="104"/>
      <c r="O6" s="104"/>
      <c r="P6" s="104"/>
      <c r="Q6" s="104"/>
      <c r="R6" s="104"/>
      <c r="S6" s="104"/>
      <c r="T6" s="104"/>
      <c r="U6" s="104"/>
      <c r="V6" s="104"/>
    </row>
    <row r="7" spans="1:22">
      <c r="A7" s="356"/>
    </row>
    <row r="8" spans="1:22" ht="12.75" customHeight="1">
      <c r="A8" s="39" t="s">
        <v>541</v>
      </c>
      <c r="B8" s="39"/>
      <c r="C8" s="40"/>
      <c r="D8" s="39"/>
      <c r="E8" s="39"/>
      <c r="F8" s="39"/>
      <c r="G8" s="39"/>
      <c r="H8" s="39"/>
      <c r="I8" s="39"/>
      <c r="J8" s="39"/>
      <c r="K8" s="39"/>
      <c r="L8" s="39"/>
      <c r="M8" s="39"/>
      <c r="N8" s="39"/>
      <c r="O8" s="39"/>
      <c r="P8" s="39"/>
      <c r="Q8" s="39"/>
      <c r="R8" s="39"/>
      <c r="S8" s="39"/>
      <c r="T8" s="39"/>
      <c r="U8" s="39"/>
      <c r="V8" s="39"/>
    </row>
    <row r="9" spans="1:22" ht="12.75" customHeight="1" outlineLevel="1">
      <c r="A9" s="361"/>
      <c r="C9"/>
      <c r="E9"/>
      <c r="F9" s="4"/>
      <c r="G9" s="33"/>
      <c r="H9" s="33"/>
      <c r="I9"/>
      <c r="J9"/>
      <c r="K9"/>
      <c r="L9"/>
      <c r="M9"/>
      <c r="N9"/>
      <c r="O9"/>
      <c r="P9"/>
      <c r="Q9"/>
      <c r="R9"/>
      <c r="S9"/>
      <c r="T9"/>
      <c r="U9"/>
      <c r="V9"/>
    </row>
    <row r="10" spans="1:22" ht="12.75" customHeight="1" outlineLevel="1">
      <c r="A10" s="361"/>
      <c r="B10" s="37" t="s">
        <v>542</v>
      </c>
      <c r="C10" s="37"/>
      <c r="D10" s="38"/>
      <c r="E10" s="38"/>
      <c r="F10" s="32"/>
      <c r="G10" s="33"/>
      <c r="H10" s="33"/>
    </row>
    <row r="11" spans="1:22" ht="12.75" customHeight="1" outlineLevel="1">
      <c r="A11" s="361"/>
      <c r="C11" s="10"/>
      <c r="F11" s="32"/>
      <c r="G11" s="33"/>
      <c r="H11" s="33"/>
    </row>
    <row r="12" spans="1:22" ht="12.75" customHeight="1" outlineLevel="1">
      <c r="A12" s="361"/>
      <c r="C12" s="10" t="s">
        <v>543</v>
      </c>
      <c r="F12" s="32"/>
      <c r="G12" s="33"/>
      <c r="H12" s="33"/>
    </row>
    <row r="13" spans="1:22" ht="12.75" customHeight="1" outlineLevel="1">
      <c r="A13" s="361" t="s">
        <v>544</v>
      </c>
      <c r="B13" s="5"/>
      <c r="C13" s="3"/>
      <c r="E13" s="20" t="s">
        <v>231</v>
      </c>
      <c r="F13" s="126">
        <v>41000</v>
      </c>
      <c r="G13" s="20" t="s">
        <v>545</v>
      </c>
      <c r="H13" s="14" t="s">
        <v>546</v>
      </c>
      <c r="I13" s="5"/>
      <c r="J13" s="14"/>
      <c r="K13" s="14"/>
      <c r="L13" s="14"/>
      <c r="M13" s="14"/>
      <c r="N13" s="14"/>
      <c r="O13" s="14"/>
      <c r="P13" s="14"/>
      <c r="Q13" s="14"/>
      <c r="R13" s="14"/>
      <c r="S13" s="14"/>
      <c r="T13" s="14"/>
      <c r="U13" s="14"/>
      <c r="V13" s="14"/>
    </row>
    <row r="14" spans="1:22" ht="12.75" customHeight="1" outlineLevel="1">
      <c r="A14" s="361"/>
      <c r="B14" s="5"/>
      <c r="C14" s="14"/>
      <c r="E14" s="14"/>
      <c r="F14" s="20"/>
      <c r="G14" s="33"/>
      <c r="H14" s="14"/>
      <c r="I14" s="14"/>
      <c r="J14" s="14"/>
      <c r="K14" s="14"/>
      <c r="L14" s="14"/>
      <c r="M14" s="14"/>
      <c r="N14" s="14"/>
      <c r="O14" s="14"/>
      <c r="P14" s="14"/>
      <c r="Q14" s="14"/>
      <c r="R14" s="14"/>
      <c r="S14" s="14"/>
      <c r="T14" s="14"/>
      <c r="U14" s="14"/>
      <c r="V14" s="14"/>
    </row>
    <row r="15" spans="1:22" ht="12.75" customHeight="1" outlineLevel="1">
      <c r="A15" s="361"/>
      <c r="C15" s="10" t="s">
        <v>547</v>
      </c>
      <c r="F15" s="32"/>
      <c r="G15" s="33"/>
      <c r="H15" s="14"/>
    </row>
    <row r="16" spans="1:22" ht="12.75" customHeight="1" outlineLevel="1">
      <c r="A16" s="361" t="s">
        <v>548</v>
      </c>
      <c r="B16" s="5"/>
      <c r="C16" s="3"/>
      <c r="E16" s="3" t="s">
        <v>233</v>
      </c>
      <c r="F16" s="316">
        <v>2013</v>
      </c>
      <c r="G16" s="28" t="s">
        <v>549</v>
      </c>
      <c r="H16" s="28" t="s">
        <v>550</v>
      </c>
      <c r="I16" s="14"/>
      <c r="J16" s="14"/>
      <c r="N16" s="14"/>
      <c r="O16" s="14"/>
      <c r="P16" s="14"/>
      <c r="Q16" s="14"/>
      <c r="R16" s="14"/>
      <c r="S16" s="14"/>
      <c r="T16" s="14"/>
      <c r="U16" s="14"/>
      <c r="V16" s="14"/>
    </row>
    <row r="17" spans="1:22" ht="12.75" customHeight="1" outlineLevel="1">
      <c r="A17" s="361" t="s">
        <v>551</v>
      </c>
      <c r="B17" s="5"/>
      <c r="C17" s="3"/>
      <c r="E17" s="3" t="s">
        <v>235</v>
      </c>
      <c r="F17" s="224">
        <v>3</v>
      </c>
      <c r="G17" s="3" t="s">
        <v>552</v>
      </c>
      <c r="H17" s="3" t="s">
        <v>553</v>
      </c>
      <c r="I17" s="14"/>
      <c r="J17" s="14"/>
      <c r="N17" s="14"/>
      <c r="O17" s="14"/>
      <c r="P17" s="14"/>
      <c r="Q17" s="14"/>
      <c r="R17" s="14"/>
      <c r="S17" s="14"/>
      <c r="T17" s="14"/>
      <c r="U17" s="14"/>
      <c r="V17" s="14"/>
    </row>
    <row r="18" spans="1:22" ht="12.75" customHeight="1" outlineLevel="1">
      <c r="A18" s="361"/>
      <c r="B18" s="5"/>
      <c r="C18" s="14"/>
      <c r="E18" s="33"/>
      <c r="F18" s="317"/>
      <c r="G18" s="33"/>
      <c r="H18" s="14"/>
      <c r="I18" s="14"/>
      <c r="J18" s="14"/>
      <c r="N18" s="14"/>
      <c r="O18" s="14"/>
      <c r="P18" s="14"/>
      <c r="Q18" s="14"/>
      <c r="R18" s="14"/>
      <c r="S18" s="14"/>
      <c r="T18" s="14"/>
      <c r="U18" s="14"/>
      <c r="V18" s="14"/>
    </row>
    <row r="19" spans="1:22" ht="12.75" customHeight="1" outlineLevel="1">
      <c r="A19" s="361"/>
      <c r="C19" s="10" t="s">
        <v>554</v>
      </c>
      <c r="H19" s="33"/>
      <c r="I19"/>
      <c r="J19"/>
      <c r="N19"/>
      <c r="O19"/>
      <c r="P19"/>
      <c r="Q19"/>
      <c r="R19"/>
      <c r="S19"/>
      <c r="T19"/>
      <c r="U19"/>
      <c r="V19"/>
    </row>
    <row r="20" spans="1:22" ht="12.75" customHeight="1" outlineLevel="1">
      <c r="A20" s="361" t="s">
        <v>555</v>
      </c>
      <c r="C20"/>
      <c r="E20" s="3" t="s">
        <v>237</v>
      </c>
      <c r="F20" s="36" t="s">
        <v>556</v>
      </c>
      <c r="G20" s="3" t="s">
        <v>557</v>
      </c>
      <c r="H20" s="33"/>
      <c r="I20"/>
      <c r="J20"/>
      <c r="K20" s="14"/>
      <c r="M20" s="14"/>
      <c r="N20"/>
      <c r="O20"/>
      <c r="P20"/>
      <c r="Q20"/>
      <c r="R20"/>
      <c r="S20"/>
      <c r="T20"/>
      <c r="U20"/>
      <c r="V20"/>
    </row>
    <row r="21" spans="1:22" ht="12.75" customHeight="1" outlineLevel="1">
      <c r="A21" s="361" t="s">
        <v>558</v>
      </c>
      <c r="C21"/>
      <c r="E21" s="3" t="s">
        <v>240</v>
      </c>
      <c r="F21" s="35" t="s">
        <v>559</v>
      </c>
      <c r="G21" s="3" t="s">
        <v>557</v>
      </c>
      <c r="H21" s="33"/>
      <c r="I21"/>
      <c r="J21"/>
      <c r="N21"/>
      <c r="O21"/>
      <c r="P21"/>
      <c r="Q21"/>
      <c r="R21"/>
      <c r="S21"/>
      <c r="T21"/>
      <c r="U21"/>
      <c r="V21"/>
    </row>
    <row r="22" spans="1:22" ht="12.75" customHeight="1" outlineLevel="1">
      <c r="A22" s="361" t="s">
        <v>560</v>
      </c>
      <c r="C22"/>
      <c r="E22" s="3" t="s">
        <v>242</v>
      </c>
      <c r="F22" s="127" t="s">
        <v>561</v>
      </c>
      <c r="G22" s="3" t="s">
        <v>557</v>
      </c>
      <c r="H22" s="33"/>
      <c r="I22"/>
      <c r="J22"/>
      <c r="N22"/>
      <c r="O22"/>
      <c r="P22"/>
      <c r="Q22"/>
      <c r="R22"/>
      <c r="S22"/>
      <c r="T22"/>
      <c r="U22"/>
      <c r="V22"/>
    </row>
    <row r="23" spans="1:22" ht="12.75" customHeight="1" outlineLevel="1">
      <c r="A23" s="361"/>
      <c r="C23"/>
      <c r="H23" s="33"/>
      <c r="I23"/>
      <c r="J23"/>
      <c r="N23"/>
      <c r="O23"/>
      <c r="P23"/>
      <c r="Q23"/>
      <c r="R23"/>
      <c r="S23"/>
      <c r="T23"/>
      <c r="U23"/>
      <c r="V23"/>
    </row>
    <row r="24" spans="1:22" ht="12.75" customHeight="1" outlineLevel="1">
      <c r="A24" s="361"/>
      <c r="B24" s="37" t="s">
        <v>562</v>
      </c>
      <c r="C24" s="37"/>
      <c r="D24" s="38"/>
      <c r="E24" s="38"/>
      <c r="F24" s="32"/>
      <c r="G24" s="33"/>
      <c r="H24" s="33"/>
    </row>
    <row r="25" spans="1:22" ht="12.75" customHeight="1" outlineLevel="1">
      <c r="A25" s="361"/>
      <c r="C25"/>
      <c r="H25" s="33"/>
      <c r="I25"/>
      <c r="J25"/>
      <c r="N25"/>
      <c r="O25"/>
      <c r="P25"/>
      <c r="Q25"/>
      <c r="R25"/>
      <c r="S25"/>
      <c r="T25"/>
      <c r="U25"/>
      <c r="V25"/>
    </row>
    <row r="26" spans="1:22" ht="12.75" customHeight="1" outlineLevel="1">
      <c r="A26" s="361" t="s">
        <v>563</v>
      </c>
      <c r="E26" s="20" t="s">
        <v>244</v>
      </c>
      <c r="F26" s="126">
        <v>43922</v>
      </c>
      <c r="G26" s="20" t="s">
        <v>545</v>
      </c>
      <c r="H26" s="20"/>
      <c r="I26" s="20"/>
      <c r="J26" s="20"/>
      <c r="K26" s="20"/>
      <c r="L26" s="20"/>
      <c r="M26" s="20"/>
      <c r="N26" s="20"/>
      <c r="O26" s="20"/>
      <c r="P26" s="20"/>
      <c r="Q26" s="20"/>
      <c r="R26" s="20"/>
      <c r="S26" s="20"/>
      <c r="T26" s="20"/>
      <c r="U26" s="20"/>
      <c r="V26" s="20"/>
    </row>
    <row r="27" spans="1:22" ht="12.75" customHeight="1" outlineLevel="1">
      <c r="A27" s="361" t="s">
        <v>564</v>
      </c>
      <c r="B27" s="22"/>
      <c r="C27" s="23"/>
      <c r="E27" s="41" t="s">
        <v>246</v>
      </c>
      <c r="F27" s="136">
        <v>5</v>
      </c>
      <c r="G27" s="41" t="s">
        <v>565</v>
      </c>
      <c r="H27" s="19"/>
      <c r="I27" s="19"/>
      <c r="J27" s="19"/>
      <c r="K27" s="19"/>
      <c r="L27" s="19"/>
      <c r="M27" s="19"/>
      <c r="N27" s="19"/>
      <c r="O27" s="19"/>
      <c r="P27" s="19"/>
      <c r="Q27" s="19"/>
      <c r="R27" s="19"/>
      <c r="S27" s="19"/>
      <c r="T27" s="19"/>
      <c r="U27" s="19"/>
      <c r="V27" s="19"/>
    </row>
    <row r="28" spans="1:22" ht="12.75" customHeight="1" outlineLevel="1">
      <c r="A28" s="361" t="s">
        <v>566</v>
      </c>
      <c r="B28" s="22"/>
      <c r="C28" s="23"/>
      <c r="E28" s="19" t="s">
        <v>248</v>
      </c>
      <c r="F28" s="128" t="str">
        <f xml:space="preserve"> YEAR(F26) &amp; "-" &amp; TEXT(DATE(YEAR(F26) + F27, 1, 1), "yy")</f>
        <v>2020-25</v>
      </c>
      <c r="G28" s="19" t="s">
        <v>567</v>
      </c>
      <c r="H28" s="22" t="s">
        <v>568</v>
      </c>
      <c r="I28" s="19"/>
      <c r="J28" s="19"/>
      <c r="K28" s="19"/>
      <c r="L28" s="19"/>
      <c r="M28" s="19"/>
      <c r="N28" s="19"/>
      <c r="O28" s="19"/>
      <c r="P28" s="19"/>
      <c r="Q28" s="19"/>
      <c r="R28" s="19"/>
      <c r="S28" s="19"/>
      <c r="T28" s="19"/>
      <c r="U28" s="19"/>
      <c r="V28" s="19"/>
    </row>
    <row r="29" spans="1:22" ht="12.75" customHeight="1" outlineLevel="1">
      <c r="A29" s="361"/>
      <c r="B29" s="5"/>
      <c r="C29" s="7"/>
      <c r="E29" s="7"/>
      <c r="F29" s="4"/>
      <c r="G29"/>
      <c r="H29"/>
      <c r="I29"/>
      <c r="J29" s="7"/>
      <c r="K29" s="7"/>
      <c r="L29" s="7"/>
      <c r="M29" s="7"/>
      <c r="N29" s="7"/>
      <c r="O29" s="7"/>
      <c r="P29" s="7"/>
      <c r="Q29" s="7"/>
      <c r="R29" s="7"/>
      <c r="S29" s="7"/>
      <c r="T29" s="7"/>
      <c r="U29" s="7"/>
      <c r="V29" s="7"/>
    </row>
    <row r="30" spans="1:22" ht="12.75" customHeight="1">
      <c r="A30" s="361"/>
      <c r="B30" s="5"/>
      <c r="C30" s="7"/>
      <c r="E30" s="7"/>
      <c r="F30" s="4"/>
      <c r="G30"/>
      <c r="H30"/>
      <c r="I30"/>
      <c r="J30" s="7"/>
      <c r="K30" s="7"/>
      <c r="L30" s="7"/>
      <c r="M30" s="7"/>
      <c r="N30" s="7"/>
      <c r="O30" s="7"/>
      <c r="P30" s="7"/>
      <c r="Q30" s="7"/>
      <c r="R30" s="7"/>
      <c r="S30" s="7"/>
      <c r="T30" s="7"/>
      <c r="U30" s="7"/>
      <c r="V30" s="7"/>
    </row>
    <row r="31" spans="1:22" ht="12.75" customHeight="1">
      <c r="A31" s="39" t="s">
        <v>569</v>
      </c>
      <c r="B31" s="39"/>
      <c r="C31" s="40"/>
      <c r="D31" s="39"/>
      <c r="E31" s="39"/>
      <c r="F31" s="39"/>
      <c r="G31" s="39"/>
      <c r="H31" s="39"/>
      <c r="I31" s="39"/>
      <c r="J31" s="39"/>
      <c r="K31" s="39"/>
      <c r="L31" s="39"/>
      <c r="M31" s="39"/>
      <c r="N31" s="39"/>
      <c r="O31" s="39"/>
      <c r="P31" s="39"/>
      <c r="Q31" s="39"/>
      <c r="R31" s="39"/>
      <c r="S31" s="39"/>
      <c r="T31" s="39"/>
      <c r="U31" s="39"/>
      <c r="V31" s="39"/>
    </row>
    <row r="32" spans="1:22" ht="12.75" customHeight="1" outlineLevel="1">
      <c r="A32" s="361"/>
      <c r="B32" s="5"/>
      <c r="C32" s="7"/>
      <c r="E32" s="7"/>
      <c r="F32" s="4"/>
      <c r="G32"/>
      <c r="H32"/>
      <c r="I32"/>
      <c r="J32" s="7"/>
      <c r="K32" s="7"/>
      <c r="L32" s="7"/>
      <c r="M32" s="7"/>
      <c r="N32" s="7"/>
      <c r="O32" s="7"/>
      <c r="P32" s="7"/>
      <c r="Q32" s="7"/>
      <c r="R32" s="7"/>
      <c r="S32" s="7"/>
      <c r="T32" s="7"/>
      <c r="U32" s="7"/>
      <c r="V32" s="7"/>
    </row>
    <row r="33" spans="1:22" ht="12.75" customHeight="1" outlineLevel="1">
      <c r="A33" s="361"/>
      <c r="B33" s="37" t="s">
        <v>570</v>
      </c>
      <c r="C33" s="37"/>
      <c r="D33" s="38"/>
      <c r="E33" s="38"/>
      <c r="F33" s="32"/>
      <c r="G33" s="33"/>
      <c r="H33" s="33"/>
    </row>
    <row r="34" spans="1:22" ht="12.75" customHeight="1" outlineLevel="1">
      <c r="A34" s="361"/>
      <c r="B34" s="5"/>
      <c r="C34" s="7"/>
      <c r="E34" s="7"/>
      <c r="F34" s="4"/>
      <c r="G34"/>
      <c r="H34"/>
      <c r="I34"/>
      <c r="J34" s="7"/>
      <c r="K34" s="7"/>
      <c r="L34" s="7"/>
      <c r="M34" s="7"/>
      <c r="N34" s="7"/>
      <c r="O34" s="7"/>
      <c r="P34" s="7"/>
      <c r="Q34" s="7"/>
      <c r="R34" s="7"/>
      <c r="S34" s="7"/>
      <c r="T34" s="7"/>
      <c r="U34" s="7"/>
      <c r="V34" s="7"/>
    </row>
    <row r="35" spans="1:22" ht="12.75" customHeight="1" outlineLevel="1">
      <c r="A35" s="361" t="s">
        <v>123</v>
      </c>
      <c r="B35" s="5"/>
      <c r="C35" s="7"/>
      <c r="E35" s="152" t="s">
        <v>571</v>
      </c>
      <c r="F35" s="152"/>
      <c r="G35" s="152" t="s">
        <v>572</v>
      </c>
      <c r="H35" s="152"/>
      <c r="I35" s="152"/>
      <c r="J35" s="274">
        <f>F_Inputs!G7</f>
        <v>95.9</v>
      </c>
      <c r="K35" s="274">
        <f>F_Inputs!H7</f>
        <v>98</v>
      </c>
      <c r="L35" s="274">
        <f>F_Inputs!I7</f>
        <v>99.6</v>
      </c>
      <c r="M35" s="274">
        <f>F_Inputs!J7</f>
        <v>99.9</v>
      </c>
      <c r="N35" s="274">
        <f>F_Inputs!K7</f>
        <v>100.6</v>
      </c>
      <c r="O35" s="274">
        <f>F_Inputs!L7</f>
        <v>103.2</v>
      </c>
      <c r="P35" s="274">
        <v>105.5</v>
      </c>
      <c r="Q35" s="274">
        <v>107.6</v>
      </c>
      <c r="R35" s="274">
        <v>109.8</v>
      </c>
      <c r="S35" s="274">
        <v>112</v>
      </c>
      <c r="T35" s="274">
        <v>114.2</v>
      </c>
      <c r="U35" s="274">
        <v>116.5</v>
      </c>
      <c r="V35" s="274">
        <v>118.8</v>
      </c>
    </row>
    <row r="36" spans="1:22" ht="12.75" customHeight="1" outlineLevel="1">
      <c r="A36" s="361" t="s">
        <v>126</v>
      </c>
      <c r="B36" s="5"/>
      <c r="C36" s="7"/>
      <c r="E36" s="152" t="s">
        <v>573</v>
      </c>
      <c r="F36" s="152"/>
      <c r="G36" s="152" t="s">
        <v>572</v>
      </c>
      <c r="H36" s="152"/>
      <c r="I36" s="152"/>
      <c r="J36" s="274">
        <f>F_Inputs!G8</f>
        <v>95.9</v>
      </c>
      <c r="K36" s="274">
        <f>F_Inputs!H8</f>
        <v>98.2</v>
      </c>
      <c r="L36" s="274">
        <f>F_Inputs!I8</f>
        <v>99.6</v>
      </c>
      <c r="M36" s="274">
        <f>F_Inputs!J8</f>
        <v>100.1</v>
      </c>
      <c r="N36" s="274">
        <f>F_Inputs!K8</f>
        <v>100.8</v>
      </c>
      <c r="O36" s="274">
        <f>F_Inputs!L8</f>
        <v>103.5</v>
      </c>
      <c r="P36" s="274">
        <v>105.9</v>
      </c>
      <c r="Q36" s="274">
        <v>107.9</v>
      </c>
      <c r="R36" s="274">
        <v>110.2</v>
      </c>
      <c r="S36" s="274">
        <v>112.4</v>
      </c>
      <c r="T36" s="274">
        <v>114.6</v>
      </c>
      <c r="U36" s="274">
        <v>116.9</v>
      </c>
      <c r="V36" s="274">
        <v>119.2</v>
      </c>
    </row>
    <row r="37" spans="1:22" ht="12.75" customHeight="1" outlineLevel="1">
      <c r="A37" s="361" t="s">
        <v>128</v>
      </c>
      <c r="B37" s="5"/>
      <c r="C37" s="7"/>
      <c r="E37" s="152" t="s">
        <v>574</v>
      </c>
      <c r="F37" s="152"/>
      <c r="G37" s="152" t="s">
        <v>572</v>
      </c>
      <c r="H37" s="152"/>
      <c r="I37" s="152"/>
      <c r="J37" s="274">
        <f>F_Inputs!G9</f>
        <v>95.6</v>
      </c>
      <c r="K37" s="274">
        <f>F_Inputs!H9</f>
        <v>98</v>
      </c>
      <c r="L37" s="274">
        <f>F_Inputs!I9</f>
        <v>99.8</v>
      </c>
      <c r="M37" s="274">
        <f>F_Inputs!J9</f>
        <v>100.1</v>
      </c>
      <c r="N37" s="274">
        <f>F_Inputs!K9</f>
        <v>101</v>
      </c>
      <c r="O37" s="274">
        <f>F_Inputs!L9</f>
        <v>103.5</v>
      </c>
      <c r="P37" s="274">
        <v>105.9</v>
      </c>
      <c r="Q37" s="274">
        <v>108</v>
      </c>
      <c r="R37" s="274">
        <v>110.2</v>
      </c>
      <c r="S37" s="274">
        <v>112.4</v>
      </c>
      <c r="T37" s="274">
        <v>114.6</v>
      </c>
      <c r="U37" s="274">
        <v>116.9</v>
      </c>
      <c r="V37" s="274">
        <v>119.2</v>
      </c>
    </row>
    <row r="38" spans="1:22" ht="12.75" customHeight="1" outlineLevel="1">
      <c r="A38" s="361" t="s">
        <v>130</v>
      </c>
      <c r="B38" s="5"/>
      <c r="C38" s="7"/>
      <c r="E38" s="152" t="s">
        <v>575</v>
      </c>
      <c r="F38" s="152"/>
      <c r="G38" s="152" t="s">
        <v>572</v>
      </c>
      <c r="H38" s="152"/>
      <c r="I38" s="152"/>
      <c r="J38" s="274">
        <f>F_Inputs!G10</f>
        <v>95.7</v>
      </c>
      <c r="K38" s="274">
        <f>F_Inputs!H10</f>
        <v>98</v>
      </c>
      <c r="L38" s="274">
        <f>F_Inputs!I10</f>
        <v>99.6</v>
      </c>
      <c r="M38" s="274">
        <f>F_Inputs!J10</f>
        <v>100</v>
      </c>
      <c r="N38" s="274">
        <f>F_Inputs!K10</f>
        <v>100.9</v>
      </c>
      <c r="O38" s="274">
        <f>F_Inputs!L10</f>
        <v>103.5</v>
      </c>
      <c r="P38" s="274">
        <v>105.9</v>
      </c>
      <c r="Q38" s="274">
        <v>108</v>
      </c>
      <c r="R38" s="274">
        <v>110.2</v>
      </c>
      <c r="S38" s="274">
        <v>112.4</v>
      </c>
      <c r="T38" s="274">
        <v>114.6</v>
      </c>
      <c r="U38" s="274">
        <v>116.9</v>
      </c>
      <c r="V38" s="274">
        <v>119.2</v>
      </c>
    </row>
    <row r="39" spans="1:22" ht="12.75" customHeight="1" outlineLevel="1">
      <c r="A39" s="361" t="s">
        <v>132</v>
      </c>
      <c r="B39" s="5"/>
      <c r="C39" s="7"/>
      <c r="E39" s="152" t="s">
        <v>576</v>
      </c>
      <c r="F39" s="152"/>
      <c r="G39" s="152" t="s">
        <v>572</v>
      </c>
      <c r="H39" s="152"/>
      <c r="I39" s="152"/>
      <c r="J39" s="274">
        <f>F_Inputs!G11</f>
        <v>96.1</v>
      </c>
      <c r="K39" s="274">
        <f>F_Inputs!H11</f>
        <v>98.4</v>
      </c>
      <c r="L39" s="274">
        <f>F_Inputs!I11</f>
        <v>99.9</v>
      </c>
      <c r="M39" s="274">
        <f>F_Inputs!J11</f>
        <v>100.3</v>
      </c>
      <c r="N39" s="274">
        <f>F_Inputs!K11</f>
        <v>101.2</v>
      </c>
      <c r="O39" s="274">
        <f>F_Inputs!L11</f>
        <v>104</v>
      </c>
      <c r="P39" s="274">
        <v>106.5</v>
      </c>
      <c r="Q39" s="274">
        <v>108.6</v>
      </c>
      <c r="R39" s="274">
        <v>110.8</v>
      </c>
      <c r="S39" s="274">
        <v>113</v>
      </c>
      <c r="T39" s="274">
        <v>115.3</v>
      </c>
      <c r="U39" s="274">
        <v>117.6</v>
      </c>
      <c r="V39" s="274">
        <v>120</v>
      </c>
    </row>
    <row r="40" spans="1:22" ht="12.75" customHeight="1" outlineLevel="1">
      <c r="A40" s="361" t="s">
        <v>134</v>
      </c>
      <c r="B40" s="5"/>
      <c r="C40" s="7"/>
      <c r="E40" s="152" t="s">
        <v>577</v>
      </c>
      <c r="F40" s="152"/>
      <c r="G40" s="152" t="s">
        <v>572</v>
      </c>
      <c r="H40" s="152"/>
      <c r="I40" s="152"/>
      <c r="J40" s="274">
        <f>F_Inputs!G12</f>
        <v>96.4</v>
      </c>
      <c r="K40" s="274">
        <f>F_Inputs!H12</f>
        <v>98.7</v>
      </c>
      <c r="L40" s="274">
        <f>F_Inputs!I12</f>
        <v>100</v>
      </c>
      <c r="M40" s="274">
        <f>F_Inputs!J12</f>
        <v>100.2</v>
      </c>
      <c r="N40" s="274">
        <f>F_Inputs!K12</f>
        <v>101.5</v>
      </c>
      <c r="O40" s="274">
        <f>F_Inputs!L12</f>
        <v>104.3</v>
      </c>
      <c r="P40" s="274">
        <v>106.6</v>
      </c>
      <c r="Q40" s="274">
        <v>108.7</v>
      </c>
      <c r="R40" s="274">
        <v>110.9</v>
      </c>
      <c r="S40" s="274">
        <v>113.1</v>
      </c>
      <c r="T40" s="274">
        <v>115.4</v>
      </c>
      <c r="U40" s="274">
        <v>117.7</v>
      </c>
      <c r="V40" s="274">
        <v>120.1</v>
      </c>
    </row>
    <row r="41" spans="1:22" ht="12.75" customHeight="1" outlineLevel="1">
      <c r="A41" s="361" t="s">
        <v>136</v>
      </c>
      <c r="B41" s="5"/>
      <c r="C41" s="7"/>
      <c r="E41" s="152" t="s">
        <v>578</v>
      </c>
      <c r="F41" s="152"/>
      <c r="G41" s="152" t="s">
        <v>572</v>
      </c>
      <c r="H41" s="152"/>
      <c r="I41" s="152"/>
      <c r="J41" s="274">
        <f>F_Inputs!G13</f>
        <v>96.8</v>
      </c>
      <c r="K41" s="274">
        <f>F_Inputs!H13</f>
        <v>98.8</v>
      </c>
      <c r="L41" s="274">
        <f>F_Inputs!I13</f>
        <v>100.1</v>
      </c>
      <c r="M41" s="274">
        <f>F_Inputs!J13</f>
        <v>100.3</v>
      </c>
      <c r="N41" s="274">
        <f>F_Inputs!K13</f>
        <v>101.6</v>
      </c>
      <c r="O41" s="274">
        <f>F_Inputs!L13</f>
        <v>104.4</v>
      </c>
      <c r="P41" s="274">
        <v>106.7</v>
      </c>
      <c r="Q41" s="274">
        <v>108.8</v>
      </c>
      <c r="R41" s="274">
        <v>111</v>
      </c>
      <c r="S41" s="274">
        <v>113.2</v>
      </c>
      <c r="T41" s="274">
        <v>115.5</v>
      </c>
      <c r="U41" s="274">
        <v>117.8</v>
      </c>
      <c r="V41" s="274">
        <v>120.2</v>
      </c>
    </row>
    <row r="42" spans="1:22" ht="12.75" customHeight="1" outlineLevel="1">
      <c r="A42" s="361" t="s">
        <v>138</v>
      </c>
      <c r="B42" s="5"/>
      <c r="C42" s="7"/>
      <c r="E42" s="152" t="s">
        <v>579</v>
      </c>
      <c r="F42" s="152"/>
      <c r="G42" s="152" t="s">
        <v>572</v>
      </c>
      <c r="H42" s="152"/>
      <c r="I42" s="152"/>
      <c r="J42" s="274">
        <f>F_Inputs!G14</f>
        <v>97</v>
      </c>
      <c r="K42" s="274">
        <f>F_Inputs!H14</f>
        <v>98.8</v>
      </c>
      <c r="L42" s="274">
        <f>F_Inputs!I14</f>
        <v>99.9</v>
      </c>
      <c r="M42" s="274">
        <f>F_Inputs!J14</f>
        <v>100.3</v>
      </c>
      <c r="N42" s="274">
        <f>F_Inputs!K14</f>
        <v>101.8</v>
      </c>
      <c r="O42" s="274">
        <f>F_Inputs!L14</f>
        <v>104.7</v>
      </c>
      <c r="P42" s="274">
        <v>106.9</v>
      </c>
      <c r="Q42" s="274">
        <v>109</v>
      </c>
      <c r="R42" s="274">
        <v>111.2</v>
      </c>
      <c r="S42" s="274">
        <v>113.4</v>
      </c>
      <c r="T42" s="274">
        <v>115.7</v>
      </c>
      <c r="U42" s="274">
        <v>118</v>
      </c>
      <c r="V42" s="274">
        <v>120.4</v>
      </c>
    </row>
    <row r="43" spans="1:22" ht="12.75" customHeight="1" outlineLevel="1">
      <c r="A43" s="361" t="s">
        <v>140</v>
      </c>
      <c r="B43" s="5"/>
      <c r="C43" s="7"/>
      <c r="E43" s="152" t="s">
        <v>580</v>
      </c>
      <c r="F43" s="152"/>
      <c r="G43" s="152" t="s">
        <v>572</v>
      </c>
      <c r="H43" s="152"/>
      <c r="I43" s="152"/>
      <c r="J43" s="274">
        <f>F_Inputs!G15</f>
        <v>97.3</v>
      </c>
      <c r="K43" s="274">
        <f>F_Inputs!H15</f>
        <v>99.2</v>
      </c>
      <c r="L43" s="274">
        <f>F_Inputs!I15</f>
        <v>99.9</v>
      </c>
      <c r="M43" s="274">
        <f>F_Inputs!J15</f>
        <v>100.4</v>
      </c>
      <c r="N43" s="274">
        <f>F_Inputs!K15</f>
        <v>102.2</v>
      </c>
      <c r="O43" s="274">
        <f>F_Inputs!L15</f>
        <v>105</v>
      </c>
      <c r="P43" s="274">
        <v>107.1</v>
      </c>
      <c r="Q43" s="274">
        <v>109.2</v>
      </c>
      <c r="R43" s="274">
        <v>111.4</v>
      </c>
      <c r="S43" s="274">
        <v>113.6</v>
      </c>
      <c r="T43" s="274">
        <v>115.9</v>
      </c>
      <c r="U43" s="274">
        <v>118.2</v>
      </c>
      <c r="V43" s="274">
        <v>120.6</v>
      </c>
    </row>
    <row r="44" spans="1:22" ht="12.75" customHeight="1" outlineLevel="1">
      <c r="A44" s="361" t="s">
        <v>142</v>
      </c>
      <c r="B44" s="5"/>
      <c r="C44" s="7"/>
      <c r="E44" s="152" t="s">
        <v>581</v>
      </c>
      <c r="F44" s="152"/>
      <c r="G44" s="152" t="s">
        <v>572</v>
      </c>
      <c r="H44" s="152"/>
      <c r="I44" s="152"/>
      <c r="J44" s="274">
        <f>F_Inputs!G16</f>
        <v>97</v>
      </c>
      <c r="K44" s="274">
        <f>F_Inputs!H16</f>
        <v>98.7</v>
      </c>
      <c r="L44" s="274">
        <f>F_Inputs!I16</f>
        <v>99.2</v>
      </c>
      <c r="M44" s="274">
        <f>F_Inputs!J16</f>
        <v>99.9</v>
      </c>
      <c r="N44" s="274">
        <f>F_Inputs!K16</f>
        <v>101.8</v>
      </c>
      <c r="O44" s="274">
        <f>F_Inputs!L16</f>
        <v>104.5</v>
      </c>
      <c r="P44" s="274">
        <v>106.4</v>
      </c>
      <c r="Q44" s="274">
        <v>108.5</v>
      </c>
      <c r="R44" s="274">
        <v>110.7</v>
      </c>
      <c r="S44" s="274">
        <v>112.9</v>
      </c>
      <c r="T44" s="274">
        <v>115.2</v>
      </c>
      <c r="U44" s="274">
        <v>117.5</v>
      </c>
      <c r="V44" s="274">
        <v>119.9</v>
      </c>
    </row>
    <row r="45" spans="1:22" ht="12.75" customHeight="1" outlineLevel="1">
      <c r="A45" s="361" t="s">
        <v>144</v>
      </c>
      <c r="B45" s="5"/>
      <c r="C45" s="7"/>
      <c r="E45" s="152" t="s">
        <v>582</v>
      </c>
      <c r="F45" s="152"/>
      <c r="G45" s="152" t="s">
        <v>572</v>
      </c>
      <c r="H45" s="152"/>
      <c r="I45" s="152"/>
      <c r="J45" s="274">
        <f>F_Inputs!G17</f>
        <v>97.5</v>
      </c>
      <c r="K45" s="274">
        <f>F_Inputs!H17</f>
        <v>99.1</v>
      </c>
      <c r="L45" s="274">
        <f>F_Inputs!I17</f>
        <v>99.5</v>
      </c>
      <c r="M45" s="274">
        <f>F_Inputs!J17</f>
        <v>100.1</v>
      </c>
      <c r="N45" s="274">
        <f>F_Inputs!K17</f>
        <v>102.4</v>
      </c>
      <c r="O45" s="274">
        <f>F_Inputs!L17</f>
        <v>104.9</v>
      </c>
      <c r="P45" s="274">
        <v>106.8</v>
      </c>
      <c r="Q45" s="274">
        <v>109.1</v>
      </c>
      <c r="R45" s="274">
        <v>111.3</v>
      </c>
      <c r="S45" s="274">
        <v>113.5</v>
      </c>
      <c r="T45" s="274">
        <v>115.8</v>
      </c>
      <c r="U45" s="274">
        <v>118.1</v>
      </c>
      <c r="V45" s="274">
        <v>120.5</v>
      </c>
    </row>
    <row r="46" spans="1:22" ht="12.75" customHeight="1" outlineLevel="1">
      <c r="A46" s="361" t="s">
        <v>146</v>
      </c>
      <c r="B46" s="5"/>
      <c r="C46" s="7"/>
      <c r="E46" s="152" t="s">
        <v>583</v>
      </c>
      <c r="F46" s="152"/>
      <c r="G46" s="152" t="s">
        <v>572</v>
      </c>
      <c r="H46" s="152"/>
      <c r="I46" s="152"/>
      <c r="J46" s="274">
        <f>F_Inputs!G18</f>
        <v>97.8</v>
      </c>
      <c r="K46" s="274">
        <f>F_Inputs!H18</f>
        <v>99.3</v>
      </c>
      <c r="L46" s="274">
        <f>F_Inputs!I18</f>
        <v>99.6</v>
      </c>
      <c r="M46" s="274">
        <f>F_Inputs!J18</f>
        <v>100.4</v>
      </c>
      <c r="N46" s="274">
        <f>F_Inputs!K18</f>
        <v>102.7</v>
      </c>
      <c r="O46" s="274">
        <f>F_Inputs!L18</f>
        <v>105.1</v>
      </c>
      <c r="P46" s="274">
        <v>107</v>
      </c>
      <c r="Q46" s="274">
        <v>109.3</v>
      </c>
      <c r="R46" s="274">
        <v>111.5</v>
      </c>
      <c r="S46" s="274">
        <v>113.7</v>
      </c>
      <c r="T46" s="274">
        <v>116</v>
      </c>
      <c r="U46" s="274">
        <v>118.3</v>
      </c>
      <c r="V46" s="274">
        <v>120.7</v>
      </c>
    </row>
    <row r="47" spans="1:22" ht="12.75" customHeight="1" outlineLevel="1">
      <c r="A47" s="361"/>
      <c r="B47" s="5"/>
      <c r="C47" s="7"/>
      <c r="E47" s="7"/>
      <c r="F47" s="4"/>
      <c r="G47"/>
      <c r="H47"/>
      <c r="I47"/>
      <c r="J47" s="7"/>
      <c r="K47" s="7"/>
      <c r="L47" s="7"/>
      <c r="M47" s="7"/>
      <c r="N47" s="7"/>
      <c r="O47" s="7"/>
      <c r="P47" s="7"/>
      <c r="Q47" s="7"/>
      <c r="R47" s="7"/>
      <c r="S47" s="7"/>
      <c r="T47" s="7"/>
      <c r="U47" s="7"/>
      <c r="V47" s="7"/>
    </row>
    <row r="48" spans="1:22" s="229" customFormat="1" outlineLevel="1">
      <c r="A48" s="390"/>
      <c r="B48" s="227"/>
      <c r="C48" s="228"/>
      <c r="D48" s="153"/>
      <c r="E48" s="153" t="s">
        <v>584</v>
      </c>
      <c r="F48" s="153"/>
      <c r="G48" s="153" t="s">
        <v>273</v>
      </c>
      <c r="H48" s="153"/>
      <c r="I48" s="153"/>
      <c r="J48" s="275"/>
      <c r="K48" s="275"/>
      <c r="L48" s="275"/>
      <c r="M48" s="275"/>
      <c r="N48" s="275"/>
      <c r="O48" s="275"/>
      <c r="P48" s="275"/>
      <c r="Q48" s="275"/>
      <c r="R48" s="275"/>
      <c r="S48" s="275"/>
      <c r="T48" s="275"/>
      <c r="U48" s="275"/>
      <c r="V48" s="275"/>
    </row>
    <row r="49" spans="1:22" ht="12.75" customHeight="1" outlineLevel="1">
      <c r="A49" s="361"/>
      <c r="B49" s="5"/>
      <c r="C49" s="7"/>
      <c r="E49" s="7"/>
      <c r="F49" s="4"/>
      <c r="G49"/>
      <c r="H49"/>
      <c r="I49"/>
      <c r="J49" s="7"/>
      <c r="K49" s="7"/>
      <c r="L49" s="7"/>
      <c r="M49" s="7"/>
      <c r="N49" s="7"/>
      <c r="O49" s="7"/>
      <c r="P49" s="7"/>
      <c r="Q49" s="7"/>
      <c r="R49" s="7"/>
      <c r="S49" s="7"/>
      <c r="T49" s="7"/>
      <c r="U49" s="7"/>
      <c r="V49" s="7"/>
    </row>
    <row r="50" spans="1:22" ht="12.75" customHeight="1" outlineLevel="1">
      <c r="A50" s="361"/>
      <c r="B50" s="37" t="s">
        <v>585</v>
      </c>
      <c r="C50" s="37"/>
      <c r="D50" s="38"/>
      <c r="E50" s="38"/>
      <c r="F50" s="32"/>
      <c r="G50" s="33"/>
      <c r="H50" s="33"/>
    </row>
    <row r="51" spans="1:22" ht="12.75" customHeight="1" outlineLevel="1">
      <c r="A51" s="361"/>
      <c r="B51" s="5"/>
      <c r="C51" s="7"/>
      <c r="E51" s="7"/>
      <c r="F51" s="4"/>
      <c r="G51"/>
      <c r="H51"/>
      <c r="I51"/>
      <c r="J51" s="7"/>
      <c r="K51" s="7"/>
      <c r="L51" s="7"/>
      <c r="M51" s="7"/>
      <c r="N51" s="7"/>
      <c r="O51" s="7"/>
      <c r="P51" s="7"/>
      <c r="Q51" s="7"/>
      <c r="R51" s="7"/>
      <c r="S51" s="7"/>
      <c r="T51" s="7"/>
      <c r="U51" s="7"/>
      <c r="V51" s="7"/>
    </row>
    <row r="52" spans="1:22" ht="12.75" customHeight="1" outlineLevel="1">
      <c r="A52" s="361" t="s">
        <v>148</v>
      </c>
      <c r="B52" s="5"/>
      <c r="C52" s="7"/>
      <c r="E52" s="152" t="s">
        <v>149</v>
      </c>
      <c r="F52" s="152"/>
      <c r="G52" s="152" t="s">
        <v>572</v>
      </c>
      <c r="H52" s="152"/>
      <c r="I52" s="152"/>
      <c r="J52" s="274">
        <f>F_Inputs!G19</f>
        <v>242.5</v>
      </c>
      <c r="K52" s="274">
        <f>F_Inputs!H19</f>
        <v>249.5</v>
      </c>
      <c r="L52" s="274">
        <f>F_Inputs!I19</f>
        <v>255.7</v>
      </c>
      <c r="M52" s="274">
        <f>F_Inputs!J19</f>
        <v>258</v>
      </c>
      <c r="N52" s="274">
        <f>F_Inputs!K19</f>
        <v>261.39999999999998</v>
      </c>
      <c r="O52" s="274">
        <f>F_Inputs!L19</f>
        <v>270.60000000000002</v>
      </c>
      <c r="P52" s="274">
        <v>279.7</v>
      </c>
      <c r="Q52" s="274">
        <v>288.2</v>
      </c>
      <c r="R52" s="274">
        <v>296.7</v>
      </c>
      <c r="S52" s="274">
        <v>305.60000000000002</v>
      </c>
      <c r="T52" s="274">
        <v>314.8</v>
      </c>
      <c r="U52" s="274">
        <v>324.2</v>
      </c>
      <c r="V52" s="274">
        <v>333.9</v>
      </c>
    </row>
    <row r="53" spans="1:22" ht="12.75" customHeight="1" outlineLevel="1">
      <c r="A53" s="361" t="s">
        <v>150</v>
      </c>
      <c r="B53" s="5"/>
      <c r="C53" s="7"/>
      <c r="E53" s="152" t="s">
        <v>151</v>
      </c>
      <c r="F53" s="152"/>
      <c r="G53" s="152" t="s">
        <v>572</v>
      </c>
      <c r="H53" s="152"/>
      <c r="I53" s="152"/>
      <c r="J53" s="274">
        <f>F_Inputs!G20</f>
        <v>242.4</v>
      </c>
      <c r="K53" s="274">
        <f>F_Inputs!H20</f>
        <v>250</v>
      </c>
      <c r="L53" s="274">
        <f>F_Inputs!I20</f>
        <v>255.9</v>
      </c>
      <c r="M53" s="274">
        <f>F_Inputs!J20</f>
        <v>258.5</v>
      </c>
      <c r="N53" s="274">
        <f>F_Inputs!K20</f>
        <v>262.10000000000002</v>
      </c>
      <c r="O53" s="274">
        <f>F_Inputs!L20</f>
        <v>271.7</v>
      </c>
      <c r="P53" s="274">
        <v>280.7</v>
      </c>
      <c r="Q53" s="274">
        <v>289.2</v>
      </c>
      <c r="R53" s="274">
        <v>297.8</v>
      </c>
      <c r="S53" s="274">
        <v>306.7</v>
      </c>
      <c r="T53" s="274">
        <v>315.89999999999998</v>
      </c>
      <c r="U53" s="274">
        <v>325.39999999999998</v>
      </c>
      <c r="V53" s="274">
        <v>335.2</v>
      </c>
    </row>
    <row r="54" spans="1:22" ht="12.75" customHeight="1" outlineLevel="1">
      <c r="A54" s="361" t="s">
        <v>152</v>
      </c>
      <c r="B54" s="5"/>
      <c r="C54" s="7"/>
      <c r="E54" s="152" t="s">
        <v>153</v>
      </c>
      <c r="F54" s="152"/>
      <c r="G54" s="152" t="s">
        <v>572</v>
      </c>
      <c r="H54" s="152"/>
      <c r="I54" s="152"/>
      <c r="J54" s="274">
        <f>F_Inputs!G21</f>
        <v>241.8</v>
      </c>
      <c r="K54" s="274">
        <f>F_Inputs!H21</f>
        <v>249.7</v>
      </c>
      <c r="L54" s="274">
        <f>F_Inputs!I21</f>
        <v>256.3</v>
      </c>
      <c r="M54" s="274">
        <f>F_Inputs!J21</f>
        <v>258.89999999999998</v>
      </c>
      <c r="N54" s="274">
        <f>F_Inputs!K21</f>
        <v>263.10000000000002</v>
      </c>
      <c r="O54" s="274">
        <f>F_Inputs!L21</f>
        <v>272.3</v>
      </c>
      <c r="P54" s="274">
        <v>281.5</v>
      </c>
      <c r="Q54" s="274">
        <v>289.89999999999998</v>
      </c>
      <c r="R54" s="274">
        <v>298.60000000000002</v>
      </c>
      <c r="S54" s="274">
        <v>307.60000000000002</v>
      </c>
      <c r="T54" s="274">
        <v>316.8</v>
      </c>
      <c r="U54" s="274">
        <v>326.3</v>
      </c>
      <c r="V54" s="274">
        <v>336.1</v>
      </c>
    </row>
    <row r="55" spans="1:22" ht="12.75" customHeight="1" outlineLevel="1">
      <c r="A55" s="361" t="s">
        <v>154</v>
      </c>
      <c r="B55" s="5"/>
      <c r="C55" s="7"/>
      <c r="E55" s="152" t="s">
        <v>155</v>
      </c>
      <c r="F55" s="152"/>
      <c r="G55" s="152" t="s">
        <v>572</v>
      </c>
      <c r="H55" s="152"/>
      <c r="I55" s="152"/>
      <c r="J55" s="274">
        <f>F_Inputs!G22</f>
        <v>242.1</v>
      </c>
      <c r="K55" s="274">
        <f>F_Inputs!H22</f>
        <v>249.7</v>
      </c>
      <c r="L55" s="274">
        <f>F_Inputs!I22</f>
        <v>256</v>
      </c>
      <c r="M55" s="274">
        <f>F_Inputs!J22</f>
        <v>258.60000000000002</v>
      </c>
      <c r="N55" s="274">
        <f>F_Inputs!K22</f>
        <v>263.39999999999998</v>
      </c>
      <c r="O55" s="274">
        <f>F_Inputs!L22</f>
        <v>272.89999999999998</v>
      </c>
      <c r="P55" s="274">
        <v>281.7</v>
      </c>
      <c r="Q55" s="274">
        <v>290.2</v>
      </c>
      <c r="R55" s="274">
        <v>298.89999999999998</v>
      </c>
      <c r="S55" s="274">
        <v>307.89999999999998</v>
      </c>
      <c r="T55" s="274">
        <v>317.10000000000002</v>
      </c>
      <c r="U55" s="274">
        <v>326.60000000000002</v>
      </c>
      <c r="V55" s="274">
        <v>336.4</v>
      </c>
    </row>
    <row r="56" spans="1:22" ht="12.75" customHeight="1" outlineLevel="1">
      <c r="A56" s="361" t="s">
        <v>156</v>
      </c>
      <c r="B56" s="5"/>
      <c r="C56" s="7"/>
      <c r="E56" s="152" t="s">
        <v>157</v>
      </c>
      <c r="F56" s="152"/>
      <c r="G56" s="152" t="s">
        <v>572</v>
      </c>
      <c r="H56" s="152"/>
      <c r="I56" s="152"/>
      <c r="J56" s="274">
        <f>F_Inputs!G23</f>
        <v>243</v>
      </c>
      <c r="K56" s="274">
        <f>F_Inputs!H23</f>
        <v>251</v>
      </c>
      <c r="L56" s="274">
        <f>F_Inputs!I23</f>
        <v>257</v>
      </c>
      <c r="M56" s="274">
        <f>F_Inputs!J23</f>
        <v>259.8</v>
      </c>
      <c r="N56" s="274">
        <f>F_Inputs!K23</f>
        <v>264.39999999999998</v>
      </c>
      <c r="O56" s="274">
        <f>F_Inputs!L23</f>
        <v>274.7</v>
      </c>
      <c r="P56" s="274">
        <v>284.2</v>
      </c>
      <c r="Q56" s="274">
        <v>292.7</v>
      </c>
      <c r="R56" s="274">
        <v>301.5</v>
      </c>
      <c r="S56" s="274">
        <v>310.5</v>
      </c>
      <c r="T56" s="274">
        <v>319.8</v>
      </c>
      <c r="U56" s="274">
        <v>329.4</v>
      </c>
      <c r="V56" s="274">
        <v>339.3</v>
      </c>
    </row>
    <row r="57" spans="1:22" ht="12.75" customHeight="1" outlineLevel="1">
      <c r="A57" s="361" t="s">
        <v>158</v>
      </c>
      <c r="B57" s="5"/>
      <c r="C57" s="7"/>
      <c r="E57" s="152" t="s">
        <v>159</v>
      </c>
      <c r="F57" s="152"/>
      <c r="G57" s="152" t="s">
        <v>572</v>
      </c>
      <c r="H57" s="152"/>
      <c r="I57" s="152"/>
      <c r="J57" s="274">
        <f>F_Inputs!G24</f>
        <v>244.2</v>
      </c>
      <c r="K57" s="274">
        <f>F_Inputs!H24</f>
        <v>251.9</v>
      </c>
      <c r="L57" s="274">
        <f>F_Inputs!I24</f>
        <v>257.60000000000002</v>
      </c>
      <c r="M57" s="274">
        <f>F_Inputs!J24</f>
        <v>259.60000000000002</v>
      </c>
      <c r="N57" s="274">
        <f>F_Inputs!K24</f>
        <v>264.89999999999998</v>
      </c>
      <c r="O57" s="274">
        <f>F_Inputs!L24</f>
        <v>275.10000000000002</v>
      </c>
      <c r="P57" s="274">
        <v>284.10000000000002</v>
      </c>
      <c r="Q57" s="274">
        <v>292.60000000000002</v>
      </c>
      <c r="R57" s="274">
        <v>301.39999999999998</v>
      </c>
      <c r="S57" s="274">
        <v>310.39999999999998</v>
      </c>
      <c r="T57" s="274">
        <v>319.7</v>
      </c>
      <c r="U57" s="274">
        <v>329.3</v>
      </c>
      <c r="V57" s="274">
        <v>339.2</v>
      </c>
    </row>
    <row r="58" spans="1:22" ht="12.75" customHeight="1" outlineLevel="1">
      <c r="A58" s="361" t="s">
        <v>160</v>
      </c>
      <c r="B58" s="5"/>
      <c r="C58" s="7"/>
      <c r="E58" s="152" t="s">
        <v>161</v>
      </c>
      <c r="F58" s="152"/>
      <c r="G58" s="152" t="s">
        <v>572</v>
      </c>
      <c r="H58" s="152"/>
      <c r="I58" s="152"/>
      <c r="J58" s="274">
        <f>F_Inputs!G25</f>
        <v>245.6</v>
      </c>
      <c r="K58" s="274">
        <f>F_Inputs!H25</f>
        <v>251.9</v>
      </c>
      <c r="L58" s="274">
        <f>F_Inputs!I25</f>
        <v>257.7</v>
      </c>
      <c r="M58" s="274">
        <f>F_Inputs!J25</f>
        <v>259.5</v>
      </c>
      <c r="N58" s="274">
        <f>F_Inputs!K25</f>
        <v>264.8</v>
      </c>
      <c r="O58" s="274">
        <f>F_Inputs!L25</f>
        <v>275.3</v>
      </c>
      <c r="P58" s="274">
        <v>284.5</v>
      </c>
      <c r="Q58" s="274">
        <v>293</v>
      </c>
      <c r="R58" s="274">
        <v>301.8</v>
      </c>
      <c r="S58" s="274">
        <v>310.89999999999998</v>
      </c>
      <c r="T58" s="274">
        <v>320.2</v>
      </c>
      <c r="U58" s="274">
        <v>329.8</v>
      </c>
      <c r="V58" s="274">
        <v>339.7</v>
      </c>
    </row>
    <row r="59" spans="1:22" ht="12.75" customHeight="1" outlineLevel="1">
      <c r="A59" s="361" t="s">
        <v>162</v>
      </c>
      <c r="B59" s="5"/>
      <c r="C59" s="7"/>
      <c r="E59" s="152" t="s">
        <v>163</v>
      </c>
      <c r="F59" s="152"/>
      <c r="G59" s="152" t="s">
        <v>572</v>
      </c>
      <c r="H59" s="152"/>
      <c r="I59" s="152"/>
      <c r="J59" s="274">
        <f>F_Inputs!G26</f>
        <v>245.6</v>
      </c>
      <c r="K59" s="274">
        <f>F_Inputs!H26</f>
        <v>252.1</v>
      </c>
      <c r="L59" s="274">
        <f>F_Inputs!I26</f>
        <v>257.10000000000002</v>
      </c>
      <c r="M59" s="274">
        <f>F_Inputs!J26</f>
        <v>259.8</v>
      </c>
      <c r="N59" s="274">
        <f>F_Inputs!K26</f>
        <v>265.5</v>
      </c>
      <c r="O59" s="274">
        <f>F_Inputs!L26</f>
        <v>275.8</v>
      </c>
      <c r="P59" s="274">
        <v>284.60000000000002</v>
      </c>
      <c r="Q59" s="274">
        <v>293.10000000000002</v>
      </c>
      <c r="R59" s="274">
        <v>301.89999999999998</v>
      </c>
      <c r="S59" s="274">
        <v>311</v>
      </c>
      <c r="T59" s="274">
        <v>320.3</v>
      </c>
      <c r="U59" s="274">
        <v>329.9</v>
      </c>
      <c r="V59" s="274">
        <v>339.8</v>
      </c>
    </row>
    <row r="60" spans="1:22" ht="12.75" customHeight="1" outlineLevel="1">
      <c r="A60" s="361" t="s">
        <v>164</v>
      </c>
      <c r="B60" s="5"/>
      <c r="C60" s="7"/>
      <c r="E60" s="152" t="s">
        <v>165</v>
      </c>
      <c r="F60" s="152"/>
      <c r="G60" s="152" t="s">
        <v>572</v>
      </c>
      <c r="H60" s="152"/>
      <c r="I60" s="152"/>
      <c r="J60" s="274">
        <f>F_Inputs!G27</f>
        <v>246.8</v>
      </c>
      <c r="K60" s="274">
        <f>F_Inputs!H27</f>
        <v>253.4</v>
      </c>
      <c r="L60" s="274">
        <f>F_Inputs!I27</f>
        <v>257.5</v>
      </c>
      <c r="M60" s="274">
        <f>F_Inputs!J27</f>
        <v>260.60000000000002</v>
      </c>
      <c r="N60" s="274">
        <f>F_Inputs!K27</f>
        <v>267.10000000000002</v>
      </c>
      <c r="O60" s="274">
        <f>F_Inputs!L27</f>
        <v>278.10000000000002</v>
      </c>
      <c r="P60" s="274">
        <v>285.60000000000002</v>
      </c>
      <c r="Q60" s="274">
        <v>294.2</v>
      </c>
      <c r="R60" s="274">
        <v>303</v>
      </c>
      <c r="S60" s="274">
        <v>312.10000000000002</v>
      </c>
      <c r="T60" s="274">
        <v>321.5</v>
      </c>
      <c r="U60" s="274">
        <v>331.1</v>
      </c>
      <c r="V60" s="274">
        <v>341</v>
      </c>
    </row>
    <row r="61" spans="1:22" ht="12.75" customHeight="1" outlineLevel="1">
      <c r="A61" s="361" t="s">
        <v>166</v>
      </c>
      <c r="B61" s="5"/>
      <c r="C61" s="7"/>
      <c r="E61" s="152" t="s">
        <v>167</v>
      </c>
      <c r="F61" s="152"/>
      <c r="G61" s="152" t="s">
        <v>572</v>
      </c>
      <c r="H61" s="152"/>
      <c r="I61" s="152"/>
      <c r="J61" s="274">
        <f>F_Inputs!G28</f>
        <v>245.8</v>
      </c>
      <c r="K61" s="274">
        <f>F_Inputs!H28</f>
        <v>252.6</v>
      </c>
      <c r="L61" s="274">
        <f>F_Inputs!I28</f>
        <v>255.4</v>
      </c>
      <c r="M61" s="274">
        <f>F_Inputs!J28</f>
        <v>258.8</v>
      </c>
      <c r="N61" s="274">
        <f>F_Inputs!K28</f>
        <v>265.5</v>
      </c>
      <c r="O61" s="274">
        <f>F_Inputs!L28</f>
        <v>276</v>
      </c>
      <c r="P61" s="274">
        <v>283</v>
      </c>
      <c r="Q61" s="274">
        <v>291.5</v>
      </c>
      <c r="R61" s="274">
        <v>300.2</v>
      </c>
      <c r="S61" s="274">
        <v>309.2</v>
      </c>
      <c r="T61" s="274">
        <v>318.5</v>
      </c>
      <c r="U61" s="274">
        <v>328.1</v>
      </c>
      <c r="V61" s="274">
        <v>337.9</v>
      </c>
    </row>
    <row r="62" spans="1:22" ht="12.75" customHeight="1" outlineLevel="1">
      <c r="A62" s="361" t="s">
        <v>168</v>
      </c>
      <c r="B62" s="5"/>
      <c r="C62" s="7"/>
      <c r="E62" s="152" t="s">
        <v>169</v>
      </c>
      <c r="F62" s="152"/>
      <c r="G62" s="152" t="s">
        <v>572</v>
      </c>
      <c r="H62" s="152"/>
      <c r="I62" s="152"/>
      <c r="J62" s="274">
        <f>F_Inputs!G29</f>
        <v>247.6</v>
      </c>
      <c r="K62" s="274">
        <f>F_Inputs!H29</f>
        <v>254.2</v>
      </c>
      <c r="L62" s="274">
        <f>F_Inputs!I29</f>
        <v>256.7</v>
      </c>
      <c r="M62" s="274">
        <f>F_Inputs!J29</f>
        <v>260</v>
      </c>
      <c r="N62" s="274">
        <f>F_Inputs!K29</f>
        <v>268.39999999999998</v>
      </c>
      <c r="O62" s="274">
        <f>F_Inputs!L29</f>
        <v>278.10000000000002</v>
      </c>
      <c r="P62" s="274">
        <v>285</v>
      </c>
      <c r="Q62" s="274">
        <v>295</v>
      </c>
      <c r="R62" s="274">
        <v>303.89999999999998</v>
      </c>
      <c r="S62" s="274">
        <v>313</v>
      </c>
      <c r="T62" s="274">
        <v>322.39999999999998</v>
      </c>
      <c r="U62" s="274">
        <v>332.1</v>
      </c>
      <c r="V62" s="274">
        <v>342.1</v>
      </c>
    </row>
    <row r="63" spans="1:22" ht="12.75" customHeight="1" outlineLevel="1">
      <c r="A63" s="361" t="s">
        <v>170</v>
      </c>
      <c r="B63" s="5"/>
      <c r="C63" s="7"/>
      <c r="E63" s="152" t="s">
        <v>171</v>
      </c>
      <c r="F63" s="152"/>
      <c r="G63" s="152" t="s">
        <v>572</v>
      </c>
      <c r="H63" s="152"/>
      <c r="I63" s="152"/>
      <c r="J63" s="274">
        <f>F_Inputs!G30</f>
        <v>248.7</v>
      </c>
      <c r="K63" s="274">
        <f>F_Inputs!H30</f>
        <v>254.8</v>
      </c>
      <c r="L63" s="274">
        <f>F_Inputs!I30</f>
        <v>257.10000000000002</v>
      </c>
      <c r="M63" s="274">
        <f>F_Inputs!J30</f>
        <v>261.10000000000002</v>
      </c>
      <c r="N63" s="274">
        <f>F_Inputs!K30</f>
        <v>269.3</v>
      </c>
      <c r="O63" s="274">
        <f>F_Inputs!L30</f>
        <v>278.3</v>
      </c>
      <c r="P63" s="274">
        <v>285.10000000000002</v>
      </c>
      <c r="Q63" s="274">
        <v>295.2</v>
      </c>
      <c r="R63" s="274">
        <v>304.10000000000002</v>
      </c>
      <c r="S63" s="274">
        <v>313.2</v>
      </c>
      <c r="T63" s="274">
        <v>322.60000000000002</v>
      </c>
      <c r="U63" s="274">
        <v>332.3</v>
      </c>
      <c r="V63" s="274">
        <v>342.3</v>
      </c>
    </row>
    <row r="64" spans="1:22" ht="12.75" customHeight="1" outlineLevel="1">
      <c r="A64" s="361"/>
      <c r="B64" s="5"/>
      <c r="C64" s="7"/>
      <c r="E64" s="7"/>
      <c r="F64" s="4"/>
      <c r="G64"/>
      <c r="H64"/>
      <c r="I64"/>
      <c r="J64" s="7"/>
      <c r="K64" s="7"/>
      <c r="L64" s="7"/>
      <c r="M64" s="7"/>
      <c r="N64" s="7"/>
      <c r="O64" s="7"/>
      <c r="P64" s="7"/>
      <c r="Q64" s="7"/>
      <c r="R64" s="7"/>
      <c r="S64" s="7"/>
      <c r="T64" s="7"/>
      <c r="U64" s="7"/>
      <c r="V64" s="7"/>
    </row>
    <row r="65" spans="1:22" s="148" customFormat="1" outlineLevel="1">
      <c r="A65" s="391"/>
      <c r="B65" s="160"/>
      <c r="C65" s="161"/>
      <c r="D65" s="162"/>
      <c r="E65" s="153" t="s">
        <v>586</v>
      </c>
      <c r="F65" s="153"/>
      <c r="G65" s="153" t="s">
        <v>273</v>
      </c>
      <c r="H65" s="153"/>
      <c r="I65" s="153"/>
      <c r="J65" s="275"/>
      <c r="K65" s="275"/>
      <c r="L65" s="275"/>
      <c r="M65" s="275"/>
      <c r="N65" s="275"/>
      <c r="O65" s="275"/>
      <c r="P65" s="275"/>
      <c r="Q65" s="275"/>
      <c r="R65" s="275"/>
      <c r="S65" s="275"/>
      <c r="T65" s="275"/>
      <c r="U65" s="275"/>
      <c r="V65" s="275"/>
    </row>
    <row r="66" spans="1:22" ht="12.75" customHeight="1" outlineLevel="1">
      <c r="A66" s="361"/>
      <c r="B66" s="5"/>
      <c r="C66" s="7"/>
      <c r="E66" s="7"/>
      <c r="F66" s="4"/>
      <c r="G66"/>
      <c r="H66"/>
      <c r="I66"/>
      <c r="J66" s="7"/>
      <c r="K66" s="7"/>
      <c r="L66" s="7"/>
      <c r="M66" s="7"/>
      <c r="N66" s="7"/>
      <c r="O66" s="7"/>
      <c r="P66" s="7"/>
      <c r="Q66" s="7"/>
      <c r="R66" s="7"/>
      <c r="S66" s="7"/>
      <c r="T66" s="7"/>
      <c r="U66" s="7"/>
      <c r="V66" s="7"/>
    </row>
    <row r="67" spans="1:22" ht="12.75" customHeight="1" outlineLevel="1">
      <c r="A67" s="361"/>
      <c r="B67" s="37" t="s">
        <v>587</v>
      </c>
      <c r="C67" s="37"/>
      <c r="D67" s="38"/>
      <c r="E67" s="38"/>
      <c r="F67" s="32"/>
      <c r="G67" s="33"/>
      <c r="H67" s="33"/>
    </row>
    <row r="68" spans="1:22" ht="12.75" customHeight="1" outlineLevel="1">
      <c r="A68" s="361"/>
      <c r="B68" s="5"/>
      <c r="C68" s="7"/>
      <c r="E68" s="7"/>
      <c r="F68" s="4"/>
      <c r="G68"/>
      <c r="H68"/>
      <c r="I68"/>
      <c r="J68" s="7"/>
      <c r="K68" s="7"/>
      <c r="L68" s="7"/>
      <c r="M68" s="7"/>
      <c r="N68" s="7"/>
      <c r="O68" s="7"/>
      <c r="P68" s="7"/>
      <c r="Q68" s="7"/>
      <c r="R68" s="7"/>
      <c r="S68" s="7"/>
      <c r="T68" s="7"/>
      <c r="U68" s="7"/>
      <c r="V68" s="7"/>
    </row>
    <row r="69" spans="1:22" ht="12.75" customHeight="1" outlineLevel="1">
      <c r="A69" s="361" t="s">
        <v>588</v>
      </c>
      <c r="B69" s="5"/>
      <c r="C69" s="7"/>
      <c r="E69" s="164" t="s">
        <v>589</v>
      </c>
      <c r="F69" s="225">
        <v>2013</v>
      </c>
      <c r="G69" s="140" t="s">
        <v>549</v>
      </c>
      <c r="H69"/>
      <c r="I69"/>
      <c r="J69" s="7"/>
      <c r="K69" s="7"/>
      <c r="L69" s="7"/>
      <c r="M69" s="7"/>
      <c r="N69" s="7"/>
      <c r="O69" s="7"/>
      <c r="P69" s="7"/>
      <c r="Q69" s="7"/>
      <c r="R69" s="7"/>
      <c r="S69" s="7"/>
      <c r="T69" s="7"/>
      <c r="U69" s="7"/>
      <c r="V69" s="7"/>
    </row>
    <row r="70" spans="1:22" ht="12.75" customHeight="1" outlineLevel="1">
      <c r="A70" s="361" t="s">
        <v>590</v>
      </c>
      <c r="B70" s="5"/>
      <c r="C70" s="7"/>
      <c r="E70" s="164" t="s">
        <v>591</v>
      </c>
      <c r="F70" s="225">
        <v>2018</v>
      </c>
      <c r="G70" s="140" t="s">
        <v>549</v>
      </c>
      <c r="H70"/>
      <c r="I70"/>
      <c r="J70" s="7"/>
      <c r="K70" s="7"/>
      <c r="L70" s="7"/>
      <c r="M70" s="7"/>
      <c r="N70" s="7"/>
      <c r="O70" s="7"/>
      <c r="P70" s="7"/>
      <c r="Q70" s="7"/>
      <c r="R70" s="7"/>
      <c r="S70" s="7"/>
      <c r="T70" s="7"/>
      <c r="U70" s="7"/>
      <c r="V70" s="7"/>
    </row>
    <row r="71" spans="1:22" ht="12.75" customHeight="1" outlineLevel="1">
      <c r="A71" s="361" t="s">
        <v>592</v>
      </c>
      <c r="B71" s="5"/>
      <c r="C71" s="7"/>
      <c r="E71" s="164" t="s">
        <v>593</v>
      </c>
      <c r="F71" s="225">
        <v>2020</v>
      </c>
      <c r="G71" s="140" t="s">
        <v>549</v>
      </c>
      <c r="H71"/>
      <c r="I71"/>
      <c r="J71" s="7"/>
      <c r="K71" s="7"/>
      <c r="L71" s="7"/>
      <c r="M71" s="7"/>
      <c r="N71" s="7"/>
      <c r="O71" s="7"/>
      <c r="P71" s="7"/>
      <c r="Q71" s="7"/>
      <c r="R71" s="7"/>
      <c r="S71" s="7"/>
      <c r="T71" s="7"/>
      <c r="U71" s="7"/>
      <c r="V71" s="7"/>
    </row>
    <row r="72" spans="1:22" ht="12.75" customHeight="1" outlineLevel="1">
      <c r="A72" s="361" t="s">
        <v>594</v>
      </c>
      <c r="B72" s="5"/>
      <c r="C72" s="7"/>
      <c r="E72" s="164" t="s">
        <v>595</v>
      </c>
      <c r="F72" s="225">
        <v>2019</v>
      </c>
      <c r="G72" s="140" t="s">
        <v>549</v>
      </c>
      <c r="H72"/>
      <c r="I72"/>
      <c r="J72" s="7"/>
      <c r="K72" s="7"/>
      <c r="L72" s="7"/>
      <c r="M72" s="7"/>
      <c r="N72" s="7"/>
      <c r="O72" s="7"/>
      <c r="P72" s="7"/>
      <c r="Q72" s="7"/>
      <c r="R72" s="7"/>
      <c r="S72" s="7"/>
      <c r="T72" s="7"/>
      <c r="U72" s="7"/>
      <c r="V72" s="7"/>
    </row>
    <row r="73" spans="1:22" ht="12.75" customHeight="1" outlineLevel="1">
      <c r="A73" s="361" t="s">
        <v>596</v>
      </c>
      <c r="B73" s="5"/>
      <c r="C73" s="7"/>
      <c r="E73" s="164" t="s">
        <v>597</v>
      </c>
      <c r="F73" s="225">
        <v>2020</v>
      </c>
      <c r="G73" s="140" t="s">
        <v>549</v>
      </c>
      <c r="H73"/>
      <c r="I73"/>
      <c r="J73" s="7"/>
      <c r="K73" s="7"/>
      <c r="L73" s="7"/>
      <c r="M73" s="7"/>
      <c r="N73" s="7"/>
      <c r="O73" s="7"/>
      <c r="P73" s="7"/>
      <c r="Q73" s="7"/>
      <c r="R73" s="7"/>
      <c r="S73" s="7"/>
      <c r="T73" s="7"/>
      <c r="U73" s="7"/>
      <c r="V73" s="7"/>
    </row>
    <row r="74" spans="1:22" ht="12.75" customHeight="1" outlineLevel="1">
      <c r="A74" s="361"/>
      <c r="B74" s="5"/>
      <c r="C74" s="7"/>
      <c r="E74" s="140"/>
      <c r="F74" s="140"/>
      <c r="G74" s="140"/>
      <c r="H74"/>
      <c r="I74"/>
      <c r="J74" s="7"/>
      <c r="K74" s="7"/>
      <c r="L74" s="7"/>
      <c r="M74" s="7"/>
      <c r="N74" s="7"/>
      <c r="O74" s="7"/>
      <c r="P74" s="7"/>
      <c r="Q74" s="7"/>
      <c r="R74" s="7"/>
      <c r="S74" s="7"/>
      <c r="T74" s="7"/>
      <c r="U74" s="7"/>
      <c r="V74" s="7"/>
    </row>
    <row r="75" spans="1:22" ht="12.75" customHeight="1" outlineLevel="1">
      <c r="A75" s="361"/>
      <c r="B75" s="37" t="s">
        <v>598</v>
      </c>
      <c r="C75" s="37"/>
      <c r="D75" s="38"/>
      <c r="E75" s="38"/>
      <c r="F75" s="32"/>
      <c r="G75" s="33"/>
      <c r="H75" s="33"/>
    </row>
    <row r="76" spans="1:22" ht="12.75" customHeight="1" outlineLevel="1">
      <c r="A76" s="361"/>
      <c r="B76" s="5"/>
      <c r="C76" s="7"/>
      <c r="E76" s="7"/>
      <c r="F76" s="4"/>
      <c r="G76"/>
      <c r="H76"/>
      <c r="I76"/>
      <c r="J76" s="7"/>
      <c r="K76" s="7"/>
      <c r="L76" s="7"/>
      <c r="M76" s="7"/>
      <c r="N76" s="7"/>
      <c r="O76" s="7"/>
      <c r="P76" s="7"/>
      <c r="Q76" s="7"/>
      <c r="R76" s="7"/>
      <c r="S76" s="7"/>
      <c r="T76" s="7"/>
      <c r="U76" s="7"/>
      <c r="V76" s="7"/>
    </row>
    <row r="77" spans="1:22" ht="12.75" customHeight="1" outlineLevel="1">
      <c r="A77" s="361" t="s">
        <v>599</v>
      </c>
      <c r="B77" s="5"/>
      <c r="C77" s="7"/>
      <c r="E77" s="140" t="s">
        <v>600</v>
      </c>
      <c r="F77" s="225">
        <v>2020</v>
      </c>
      <c r="G77" s="140" t="s">
        <v>549</v>
      </c>
      <c r="H77"/>
      <c r="I77"/>
      <c r="J77" s="7"/>
      <c r="K77" s="7"/>
      <c r="L77" s="7"/>
      <c r="M77" s="7"/>
      <c r="N77" s="7"/>
      <c r="O77" s="7"/>
      <c r="P77" s="7"/>
      <c r="Q77" s="7"/>
      <c r="R77" s="7"/>
      <c r="S77" s="7"/>
      <c r="T77" s="7"/>
      <c r="U77" s="7"/>
      <c r="V77" s="7"/>
    </row>
    <row r="78" spans="1:22" ht="12.75" customHeight="1" outlineLevel="1">
      <c r="A78" s="361" t="s">
        <v>601</v>
      </c>
      <c r="B78" s="5"/>
      <c r="C78" s="7"/>
      <c r="E78" s="140" t="s">
        <v>602</v>
      </c>
      <c r="F78" s="225">
        <v>2018</v>
      </c>
      <c r="G78" s="140" t="s">
        <v>549</v>
      </c>
      <c r="H78"/>
      <c r="I78"/>
      <c r="J78" s="7"/>
      <c r="K78" s="7"/>
      <c r="L78" s="7"/>
      <c r="M78" s="7"/>
      <c r="N78" s="7"/>
      <c r="O78" s="7"/>
      <c r="P78" s="7"/>
      <c r="Q78" s="7"/>
      <c r="R78" s="7"/>
      <c r="S78" s="7"/>
      <c r="T78" s="7"/>
      <c r="U78" s="7"/>
      <c r="V78" s="7"/>
    </row>
    <row r="79" spans="1:22" ht="12.75" customHeight="1" outlineLevel="1">
      <c r="A79" s="361"/>
      <c r="B79" s="5"/>
      <c r="C79" s="7"/>
      <c r="E79" s="140"/>
      <c r="F79" s="140"/>
      <c r="G79" s="140"/>
      <c r="H79"/>
      <c r="I79"/>
      <c r="J79" s="7"/>
      <c r="K79" s="7"/>
      <c r="L79" s="7"/>
      <c r="M79" s="7"/>
      <c r="N79" s="7"/>
      <c r="O79" s="7"/>
      <c r="P79" s="7"/>
      <c r="Q79" s="7"/>
      <c r="R79" s="7"/>
      <c r="S79" s="7"/>
      <c r="T79" s="7"/>
      <c r="U79" s="7"/>
      <c r="V79" s="7"/>
    </row>
    <row r="80" spans="1:22" ht="12.75" customHeight="1">
      <c r="A80" s="361"/>
      <c r="B80" s="5"/>
      <c r="C80" s="7"/>
      <c r="E80" s="7"/>
      <c r="F80" s="4"/>
      <c r="G80"/>
      <c r="H80"/>
      <c r="I80"/>
      <c r="J80" s="7"/>
      <c r="K80" s="7"/>
      <c r="L80" s="7"/>
      <c r="M80" s="7"/>
      <c r="N80" s="7"/>
      <c r="O80" s="7"/>
      <c r="P80" s="7"/>
      <c r="Q80" s="7"/>
      <c r="R80" s="7"/>
      <c r="S80" s="7"/>
      <c r="T80" s="7"/>
      <c r="U80" s="7"/>
      <c r="V80" s="7"/>
    </row>
    <row r="81" spans="1:22" ht="12.75" customHeight="1">
      <c r="A81" s="39" t="s">
        <v>603</v>
      </c>
      <c r="B81" s="39"/>
      <c r="C81" s="40"/>
      <c r="D81" s="39"/>
      <c r="E81" s="39"/>
      <c r="F81" s="39"/>
      <c r="G81" s="39"/>
      <c r="H81" s="39"/>
      <c r="I81" s="39"/>
      <c r="J81" s="39"/>
      <c r="K81" s="39"/>
      <c r="L81" s="39"/>
      <c r="M81" s="39"/>
      <c r="N81" s="39"/>
      <c r="O81" s="39"/>
      <c r="P81" s="39"/>
      <c r="Q81" s="39"/>
      <c r="R81" s="39"/>
      <c r="S81" s="39"/>
      <c r="T81" s="39"/>
      <c r="U81" s="39"/>
      <c r="V81" s="39"/>
    </row>
    <row r="82" spans="1:22" ht="12.75" customHeight="1" outlineLevel="1">
      <c r="A82" s="356"/>
      <c r="C82" s="3"/>
      <c r="D82" s="10"/>
      <c r="E82" s="10"/>
      <c r="F82" s="10"/>
      <c r="G82" s="10"/>
      <c r="H82" s="10"/>
      <c r="I82" s="10"/>
      <c r="J82" s="10"/>
      <c r="K82" s="10"/>
      <c r="L82" s="10"/>
      <c r="M82" s="10"/>
      <c r="N82" s="10"/>
      <c r="O82" s="10"/>
      <c r="P82" s="10"/>
      <c r="Q82" s="10"/>
      <c r="R82" s="10"/>
      <c r="S82" s="10"/>
      <c r="T82" s="10"/>
      <c r="U82" s="10"/>
      <c r="V82" s="10"/>
    </row>
    <row r="83" spans="1:22" ht="12.75" customHeight="1" outlineLevel="1">
      <c r="A83" s="361"/>
      <c r="B83" s="37" t="s">
        <v>604</v>
      </c>
      <c r="C83" s="37"/>
      <c r="D83" s="38"/>
      <c r="E83" s="38"/>
      <c r="F83" s="32"/>
      <c r="G83" s="33"/>
      <c r="H83" s="33"/>
    </row>
    <row r="84" spans="1:22" ht="12.75" customHeight="1" outlineLevel="1">
      <c r="A84" s="393"/>
      <c r="B84" s="5"/>
      <c r="C84" s="7"/>
      <c r="E84" s="7"/>
      <c r="F84" s="4"/>
      <c r="G84"/>
      <c r="H84"/>
      <c r="I84"/>
      <c r="J84" s="7"/>
      <c r="K84" s="7"/>
      <c r="L84" s="7"/>
      <c r="M84" s="7"/>
      <c r="N84" s="7"/>
      <c r="O84" s="7"/>
      <c r="P84" s="7"/>
      <c r="Q84" s="7"/>
      <c r="R84" s="7"/>
      <c r="S84" s="7"/>
      <c r="T84" s="7"/>
      <c r="U84" s="7"/>
      <c r="V84" s="7"/>
    </row>
    <row r="85" spans="1:22" ht="12.75" customHeight="1" outlineLevel="1">
      <c r="A85" s="393"/>
      <c r="B85" s="5"/>
      <c r="C85" s="7"/>
      <c r="D85" s="10" t="s">
        <v>523</v>
      </c>
      <c r="E85" s="7"/>
      <c r="F85" s="4"/>
      <c r="G85"/>
      <c r="H85"/>
      <c r="I85"/>
      <c r="J85" s="7"/>
      <c r="K85" s="7"/>
      <c r="L85" s="7"/>
      <c r="M85" s="7"/>
      <c r="N85" s="7"/>
      <c r="O85" s="7"/>
      <c r="P85" s="7"/>
      <c r="Q85" s="7"/>
      <c r="R85" s="7"/>
      <c r="S85" s="7"/>
      <c r="T85" s="7"/>
      <c r="U85" s="7"/>
      <c r="V85" s="7"/>
    </row>
    <row r="86" spans="1:22" ht="12.75" customHeight="1" outlineLevel="1">
      <c r="A86" s="392" t="str">
        <f>F_Inputs!B31</f>
        <v>C_APP27015_PD002</v>
      </c>
      <c r="B86" s="5"/>
      <c r="C86" s="7"/>
      <c r="E86" s="276" t="s">
        <v>173</v>
      </c>
      <c r="F86" s="136">
        <f>F_Inputs!R31</f>
        <v>0</v>
      </c>
      <c r="G86" s="166" t="s">
        <v>174</v>
      </c>
      <c r="H86" t="s">
        <v>605</v>
      </c>
      <c r="I86"/>
      <c r="J86" s="7"/>
      <c r="K86" s="7"/>
      <c r="L86" s="7"/>
      <c r="M86" s="7"/>
      <c r="N86" s="7"/>
      <c r="O86" s="7"/>
      <c r="P86" s="7"/>
      <c r="Q86" s="7"/>
      <c r="R86" s="7"/>
      <c r="S86" s="7"/>
      <c r="T86" s="7"/>
      <c r="U86" s="7"/>
      <c r="V86" s="7"/>
    </row>
    <row r="87" spans="1:22" ht="12.75" customHeight="1" outlineLevel="1">
      <c r="A87" s="392" t="str">
        <f>F_Inputs!B32</f>
        <v>C_APP27022_PD002</v>
      </c>
      <c r="B87" s="5"/>
      <c r="C87" s="7"/>
      <c r="E87" s="276" t="s">
        <v>176</v>
      </c>
      <c r="F87" s="406">
        <v>1.2649999999999999</v>
      </c>
      <c r="G87" s="166" t="s">
        <v>174</v>
      </c>
      <c r="H87" t="s">
        <v>605</v>
      </c>
      <c r="I87"/>
      <c r="J87" s="7"/>
      <c r="K87" s="7"/>
      <c r="L87" s="7"/>
      <c r="M87" s="7"/>
      <c r="N87" s="7"/>
      <c r="O87" s="7"/>
      <c r="P87" s="7"/>
      <c r="Q87" s="7"/>
      <c r="R87" s="7"/>
      <c r="S87" s="7"/>
      <c r="T87" s="7"/>
      <c r="U87" s="7"/>
      <c r="V87" s="7"/>
    </row>
    <row r="88" spans="1:22" ht="12.75" customHeight="1" outlineLevel="1">
      <c r="A88" s="392" t="str">
        <f>F_Inputs!B33</f>
        <v>C_WS17013_PR19D007</v>
      </c>
      <c r="B88" s="5"/>
      <c r="C88" s="7"/>
      <c r="E88" s="276" t="s">
        <v>606</v>
      </c>
      <c r="F88" s="136">
        <f>F_Inputs!R33</f>
        <v>0</v>
      </c>
      <c r="G88" s="166" t="s">
        <v>174</v>
      </c>
      <c r="H88" t="s">
        <v>607</v>
      </c>
      <c r="I88"/>
      <c r="J88" s="7"/>
      <c r="K88" s="7"/>
      <c r="L88" s="7"/>
      <c r="M88" s="7"/>
      <c r="N88" s="7"/>
      <c r="O88" s="7"/>
      <c r="P88" s="7"/>
      <c r="Q88" s="7"/>
      <c r="R88" s="7"/>
      <c r="S88" s="7"/>
      <c r="T88" s="7"/>
      <c r="U88" s="7"/>
      <c r="V88" s="7"/>
    </row>
    <row r="89" spans="1:22" ht="12.75" customHeight="1" outlineLevel="1">
      <c r="A89" s="392" t="str">
        <f>F_Inputs!B34</f>
        <v>C_WS17025_PR19D007</v>
      </c>
      <c r="B89" s="5"/>
      <c r="C89" s="7"/>
      <c r="E89" s="276" t="s">
        <v>608</v>
      </c>
      <c r="F89" s="136">
        <f>F_Inputs!R34</f>
        <v>0</v>
      </c>
      <c r="G89" s="166" t="s">
        <v>174</v>
      </c>
      <c r="H89" t="s">
        <v>607</v>
      </c>
      <c r="I89"/>
      <c r="J89" s="7"/>
      <c r="K89" s="7"/>
      <c r="L89" s="7"/>
      <c r="M89" s="7"/>
      <c r="N89" s="7"/>
      <c r="O89" s="7"/>
      <c r="P89" s="7"/>
      <c r="Q89" s="7"/>
      <c r="R89" s="7"/>
      <c r="S89" s="7"/>
      <c r="T89" s="7"/>
      <c r="U89" s="7"/>
      <c r="V89" s="7"/>
    </row>
    <row r="90" spans="1:22" ht="12.75" customHeight="1" outlineLevel="1">
      <c r="A90" s="393"/>
      <c r="B90" s="5"/>
      <c r="C90" s="7"/>
      <c r="E90" s="7"/>
      <c r="F90" s="4"/>
      <c r="G90"/>
      <c r="H90"/>
      <c r="I90"/>
      <c r="J90" s="7"/>
      <c r="K90" s="7"/>
      <c r="L90" s="7"/>
      <c r="M90" s="7"/>
      <c r="N90" s="7"/>
      <c r="O90" s="7"/>
      <c r="P90" s="7"/>
      <c r="Q90" s="7"/>
      <c r="R90" s="7"/>
      <c r="S90" s="7"/>
      <c r="T90" s="7"/>
      <c r="U90" s="7"/>
      <c r="V90" s="7"/>
    </row>
    <row r="91" spans="1:22" ht="12.75" customHeight="1" outlineLevel="1">
      <c r="A91" s="393"/>
      <c r="B91" s="5"/>
      <c r="C91" s="7"/>
      <c r="D91" s="10" t="s">
        <v>609</v>
      </c>
      <c r="E91" s="7"/>
      <c r="F91" s="4"/>
      <c r="G91"/>
      <c r="H91"/>
      <c r="I91"/>
      <c r="J91" s="7"/>
      <c r="K91" s="7"/>
      <c r="L91" s="7"/>
      <c r="M91" s="7"/>
      <c r="N91" s="7"/>
      <c r="O91" s="7"/>
      <c r="P91" s="7"/>
      <c r="Q91" s="7"/>
      <c r="R91" s="7"/>
      <c r="S91" s="7"/>
      <c r="T91" s="7"/>
      <c r="U91" s="7"/>
      <c r="V91" s="7"/>
    </row>
    <row r="92" spans="1:22" ht="12.75" customHeight="1" outlineLevel="1">
      <c r="A92" s="392" t="str">
        <f>F_Inputs!B35</f>
        <v>C00578_L021</v>
      </c>
      <c r="B92" s="5"/>
      <c r="C92" s="7"/>
      <c r="E92" s="276" t="s">
        <v>610</v>
      </c>
      <c r="F92" s="405">
        <v>0.86864405982997595</v>
      </c>
      <c r="G92" s="166" t="s">
        <v>174</v>
      </c>
      <c r="H92" t="s">
        <v>605</v>
      </c>
      <c r="I92"/>
      <c r="J92" s="7"/>
      <c r="K92" s="7"/>
      <c r="L92" s="7"/>
      <c r="M92" s="7"/>
      <c r="N92" s="7"/>
      <c r="O92" s="7"/>
      <c r="P92" s="7"/>
      <c r="Q92" s="7"/>
      <c r="R92" s="7"/>
      <c r="S92" s="7"/>
      <c r="T92" s="7"/>
      <c r="U92" s="7"/>
      <c r="V92" s="7"/>
    </row>
    <row r="93" spans="1:22" ht="12.75" customHeight="1" outlineLevel="1">
      <c r="A93" s="392" t="str">
        <f>F_Inputs!B36</f>
        <v>C_APP27016_PD002</v>
      </c>
      <c r="B93" s="5"/>
      <c r="C93" s="7"/>
      <c r="E93" s="276" t="s">
        <v>184</v>
      </c>
      <c r="F93" s="136">
        <f>F_Inputs!R36</f>
        <v>0</v>
      </c>
      <c r="G93" s="166" t="s">
        <v>174</v>
      </c>
      <c r="H93" t="s">
        <v>605</v>
      </c>
      <c r="I93"/>
      <c r="J93" s="7"/>
      <c r="K93" s="7"/>
      <c r="L93" s="7"/>
      <c r="M93" s="7"/>
      <c r="N93" s="7"/>
      <c r="O93" s="7"/>
      <c r="P93" s="7"/>
      <c r="Q93" s="7"/>
      <c r="R93" s="7"/>
      <c r="S93" s="7"/>
      <c r="T93" s="7"/>
      <c r="U93" s="7"/>
      <c r="V93" s="7"/>
    </row>
    <row r="94" spans="1:22" ht="12.75" customHeight="1" outlineLevel="1">
      <c r="A94" s="392" t="str">
        <f>F_Inputs!B37</f>
        <v>C_APP27023_PD002</v>
      </c>
      <c r="B94" s="5"/>
      <c r="C94" s="7"/>
      <c r="E94" s="276" t="s">
        <v>186</v>
      </c>
      <c r="F94" s="405">
        <v>-12.911</v>
      </c>
      <c r="G94" s="166" t="s">
        <v>174</v>
      </c>
      <c r="H94" t="s">
        <v>605</v>
      </c>
      <c r="I94"/>
      <c r="J94" s="7"/>
      <c r="K94" s="7"/>
      <c r="L94" s="7"/>
      <c r="M94" s="7"/>
      <c r="N94" s="7"/>
      <c r="O94" s="7"/>
      <c r="P94" s="7"/>
      <c r="Q94" s="7"/>
      <c r="R94" s="7"/>
      <c r="S94" s="7"/>
      <c r="T94" s="7"/>
      <c r="U94" s="7"/>
      <c r="V94" s="7"/>
    </row>
    <row r="95" spans="1:22" ht="12.75" customHeight="1" outlineLevel="1">
      <c r="A95" s="392" t="str">
        <f>F_Inputs!B38</f>
        <v>C_WS15024_PR19PD006</v>
      </c>
      <c r="B95" s="5"/>
      <c r="C95" s="7"/>
      <c r="E95" s="276" t="s">
        <v>188</v>
      </c>
      <c r="F95" s="136">
        <v>-7.1999999999999995E-2</v>
      </c>
      <c r="G95" s="166" t="s">
        <v>174</v>
      </c>
      <c r="H95" t="s">
        <v>605</v>
      </c>
      <c r="I95"/>
      <c r="J95" s="7"/>
      <c r="K95" s="7"/>
      <c r="L95" s="7"/>
      <c r="M95" s="7"/>
      <c r="N95" s="7"/>
      <c r="O95" s="7"/>
      <c r="P95" s="7"/>
      <c r="Q95" s="7"/>
      <c r="R95" s="7"/>
      <c r="S95" s="7"/>
      <c r="T95" s="7"/>
      <c r="U95" s="7"/>
      <c r="V95" s="7"/>
    </row>
    <row r="96" spans="1:22" ht="12.75" customHeight="1" outlineLevel="1">
      <c r="A96" s="392" t="str">
        <f>F_Inputs!B39</f>
        <v>C_WS17014_PR19D007</v>
      </c>
      <c r="B96" s="5"/>
      <c r="C96" s="7"/>
      <c r="E96" s="276" t="s">
        <v>611</v>
      </c>
      <c r="F96" s="136">
        <f>F_Inputs!R39</f>
        <v>0</v>
      </c>
      <c r="G96" s="166" t="s">
        <v>174</v>
      </c>
      <c r="H96" t="s">
        <v>607</v>
      </c>
      <c r="I96"/>
      <c r="J96" s="7"/>
      <c r="K96" s="7"/>
      <c r="L96" s="7"/>
      <c r="M96" s="7"/>
      <c r="N96" s="7"/>
      <c r="O96" s="7"/>
      <c r="P96" s="7"/>
      <c r="Q96" s="7"/>
      <c r="R96" s="7"/>
      <c r="S96" s="7"/>
      <c r="T96" s="7"/>
      <c r="U96" s="7"/>
      <c r="V96" s="7"/>
    </row>
    <row r="97" spans="1:22" ht="12.75" customHeight="1" outlineLevel="1">
      <c r="A97" s="392" t="str">
        <f>F_Inputs!B40</f>
        <v>C_WS17026_PR19D007</v>
      </c>
      <c r="B97" s="5"/>
      <c r="C97" s="7"/>
      <c r="E97" s="276" t="s">
        <v>612</v>
      </c>
      <c r="F97" s="136">
        <f>F_Inputs!R40</f>
        <v>0</v>
      </c>
      <c r="G97" s="166" t="s">
        <v>174</v>
      </c>
      <c r="H97" t="s">
        <v>607</v>
      </c>
      <c r="I97"/>
      <c r="J97" s="7"/>
      <c r="K97" s="7"/>
      <c r="L97" s="7"/>
      <c r="M97" s="7"/>
      <c r="N97" s="7"/>
      <c r="O97" s="7"/>
      <c r="P97" s="7"/>
      <c r="Q97" s="7"/>
      <c r="R97" s="7"/>
      <c r="S97" s="7"/>
      <c r="T97" s="7"/>
      <c r="U97" s="7"/>
      <c r="V97" s="7"/>
    </row>
    <row r="98" spans="1:22" ht="12.75" customHeight="1" outlineLevel="1">
      <c r="A98" s="392" t="str">
        <f>F_Inputs!B41</f>
        <v>C_WS13026_PR19PD005</v>
      </c>
      <c r="B98" s="5"/>
      <c r="C98" s="7"/>
      <c r="E98" s="276" t="s">
        <v>613</v>
      </c>
      <c r="F98" s="405">
        <v>10.090999999999999</v>
      </c>
      <c r="G98" s="166" t="s">
        <v>174</v>
      </c>
      <c r="H98" t="s">
        <v>614</v>
      </c>
      <c r="I98"/>
      <c r="J98" s="7"/>
      <c r="K98" s="7"/>
      <c r="L98" s="7"/>
      <c r="M98" s="7"/>
      <c r="N98" s="7"/>
      <c r="O98" s="7"/>
      <c r="P98" s="7"/>
      <c r="Q98" s="7"/>
      <c r="R98" s="7"/>
      <c r="S98" s="7"/>
      <c r="T98" s="7"/>
      <c r="U98" s="7"/>
      <c r="V98" s="7"/>
    </row>
    <row r="99" spans="1:22" ht="12.75" customHeight="1" outlineLevel="1">
      <c r="A99" s="393"/>
      <c r="B99" s="5"/>
      <c r="C99" s="7"/>
      <c r="E99" s="7"/>
      <c r="F99" s="4"/>
      <c r="G99"/>
      <c r="H99"/>
      <c r="I99"/>
      <c r="J99" s="7"/>
      <c r="K99" s="7"/>
      <c r="L99" s="7"/>
      <c r="M99" s="7"/>
      <c r="N99" s="7"/>
      <c r="O99" s="7"/>
      <c r="P99" s="7"/>
      <c r="Q99" s="7"/>
      <c r="R99" s="7"/>
      <c r="S99" s="7"/>
      <c r="T99" s="7"/>
      <c r="U99" s="7"/>
      <c r="V99" s="7"/>
    </row>
    <row r="100" spans="1:22" ht="12.75" customHeight="1" outlineLevel="1">
      <c r="A100" s="361"/>
      <c r="B100" s="37" t="s">
        <v>615</v>
      </c>
      <c r="C100" s="37"/>
      <c r="D100" s="38"/>
      <c r="E100" s="38"/>
      <c r="F100" s="32"/>
      <c r="G100" s="33"/>
      <c r="H100" s="33"/>
    </row>
    <row r="101" spans="1:22" ht="12.75" customHeight="1" outlineLevel="1">
      <c r="A101" s="393"/>
      <c r="B101" s="5"/>
      <c r="C101" s="7"/>
      <c r="E101" s="7"/>
      <c r="F101" s="4"/>
      <c r="G101"/>
      <c r="H101"/>
      <c r="I101"/>
      <c r="J101" s="7"/>
      <c r="K101" s="7"/>
      <c r="L101" s="7"/>
      <c r="M101" s="7"/>
      <c r="N101" s="7"/>
      <c r="O101" s="7"/>
      <c r="P101" s="7"/>
      <c r="Q101" s="7"/>
      <c r="R101" s="7"/>
      <c r="S101" s="7"/>
      <c r="T101" s="7"/>
      <c r="U101" s="7"/>
      <c r="V101" s="7"/>
    </row>
    <row r="102" spans="1:22" ht="12.75" customHeight="1" outlineLevel="1">
      <c r="A102" s="393"/>
      <c r="B102" s="5"/>
      <c r="C102" s="7"/>
      <c r="D102" s="10" t="s">
        <v>616</v>
      </c>
      <c r="E102" s="7"/>
      <c r="F102" s="4"/>
      <c r="G102"/>
      <c r="H102"/>
      <c r="I102"/>
      <c r="J102" s="7"/>
      <c r="K102" s="7"/>
      <c r="L102" s="7"/>
      <c r="M102" s="7"/>
      <c r="N102" s="7"/>
      <c r="O102" s="7"/>
      <c r="P102" s="7"/>
      <c r="Q102" s="7"/>
      <c r="R102" s="7"/>
      <c r="S102" s="7"/>
      <c r="T102" s="7"/>
      <c r="U102" s="7"/>
      <c r="V102" s="7"/>
    </row>
    <row r="103" spans="1:22" ht="12.75" customHeight="1" outlineLevel="1">
      <c r="A103" s="392" t="str">
        <f>F_Inputs!B42</f>
        <v>C_APP27018_PD002</v>
      </c>
      <c r="B103" s="5"/>
      <c r="C103" s="7"/>
      <c r="E103" s="7" t="s">
        <v>196</v>
      </c>
      <c r="F103" s="136">
        <f>F_Inputs!R42</f>
        <v>0</v>
      </c>
      <c r="G103" s="166" t="s">
        <v>174</v>
      </c>
      <c r="H103" t="s">
        <v>605</v>
      </c>
      <c r="I103"/>
      <c r="J103" s="7"/>
      <c r="K103" s="7"/>
      <c r="L103" s="7"/>
      <c r="M103" s="7"/>
      <c r="N103" s="7"/>
      <c r="O103" s="7"/>
      <c r="P103" s="7"/>
      <c r="Q103" s="7"/>
      <c r="R103" s="7"/>
      <c r="S103" s="7"/>
      <c r="T103" s="7"/>
      <c r="U103" s="7"/>
      <c r="V103" s="7"/>
    </row>
    <row r="104" spans="1:22" ht="12.75" customHeight="1" outlineLevel="1">
      <c r="A104" s="392" t="str">
        <f>F_Inputs!B43</f>
        <v>C_APP27025_PD002</v>
      </c>
      <c r="B104" s="5"/>
      <c r="C104" s="7"/>
      <c r="E104" s="7" t="s">
        <v>198</v>
      </c>
      <c r="F104" s="136">
        <f>F_Inputs!R43</f>
        <v>0</v>
      </c>
      <c r="G104" s="166" t="s">
        <v>174</v>
      </c>
      <c r="H104" t="s">
        <v>605</v>
      </c>
      <c r="I104"/>
      <c r="J104" s="7"/>
      <c r="K104" s="7"/>
      <c r="L104" s="7"/>
      <c r="M104" s="7"/>
      <c r="N104" s="7"/>
      <c r="O104" s="7"/>
      <c r="P104" s="7"/>
      <c r="Q104" s="7"/>
      <c r="R104" s="7"/>
      <c r="S104" s="7"/>
      <c r="T104" s="7"/>
      <c r="U104" s="7"/>
      <c r="V104" s="7"/>
    </row>
    <row r="105" spans="1:22" ht="12.75" customHeight="1" outlineLevel="1">
      <c r="A105" s="393"/>
      <c r="B105" s="5"/>
      <c r="C105" s="7"/>
      <c r="E105" s="7"/>
      <c r="F105" s="4"/>
      <c r="G105"/>
      <c r="H105"/>
      <c r="I105"/>
      <c r="J105" s="7"/>
      <c r="K105" s="7"/>
      <c r="L105" s="7"/>
      <c r="M105" s="7"/>
      <c r="N105" s="7"/>
      <c r="O105" s="7"/>
      <c r="P105" s="7"/>
      <c r="Q105" s="7"/>
      <c r="R105" s="7"/>
      <c r="S105" s="7"/>
      <c r="T105" s="7"/>
      <c r="U105" s="7"/>
      <c r="V105" s="7"/>
    </row>
    <row r="106" spans="1:22" ht="12.75" customHeight="1" outlineLevel="1">
      <c r="A106" s="393"/>
      <c r="B106" s="5"/>
      <c r="C106" s="7"/>
      <c r="D106" s="10" t="s">
        <v>617</v>
      </c>
      <c r="E106" s="7"/>
      <c r="F106" s="4"/>
      <c r="G106"/>
      <c r="H106"/>
      <c r="I106"/>
      <c r="J106" s="7"/>
      <c r="K106" s="7"/>
      <c r="L106" s="7"/>
      <c r="M106" s="7"/>
      <c r="N106" s="7"/>
      <c r="O106" s="7"/>
      <c r="P106" s="7"/>
      <c r="Q106" s="7"/>
      <c r="R106" s="7"/>
      <c r="S106" s="7"/>
      <c r="T106" s="7"/>
      <c r="U106" s="7"/>
      <c r="V106" s="7"/>
    </row>
    <row r="107" spans="1:22" ht="12.75" customHeight="1" outlineLevel="1">
      <c r="A107" s="392" t="str">
        <f>F_Inputs!B44</f>
        <v>C00585_L021</v>
      </c>
      <c r="B107" s="5"/>
      <c r="C107" s="7"/>
      <c r="E107" s="276" t="s">
        <v>618</v>
      </c>
      <c r="F107" s="136">
        <f>F_Inputs!P44</f>
        <v>0</v>
      </c>
      <c r="G107" s="166" t="s">
        <v>174</v>
      </c>
      <c r="H107" t="s">
        <v>605</v>
      </c>
      <c r="I107"/>
      <c r="J107" s="7"/>
      <c r="K107" s="7"/>
      <c r="L107" s="7"/>
      <c r="M107" s="7"/>
      <c r="N107" s="7"/>
      <c r="O107" s="7"/>
      <c r="P107" s="7"/>
      <c r="Q107" s="7"/>
      <c r="R107" s="7"/>
      <c r="S107" s="7"/>
      <c r="T107" s="7"/>
      <c r="U107" s="7"/>
      <c r="V107" s="7"/>
    </row>
    <row r="108" spans="1:22" ht="12.75" customHeight="1" outlineLevel="1">
      <c r="A108" s="392" t="str">
        <f>F_Inputs!B45</f>
        <v>C_APP27017_PD002</v>
      </c>
      <c r="B108" s="5"/>
      <c r="C108" s="7"/>
      <c r="E108" s="276" t="s">
        <v>202</v>
      </c>
      <c r="F108" s="136">
        <f>F_Inputs!R45</f>
        <v>0</v>
      </c>
      <c r="G108" s="166" t="s">
        <v>174</v>
      </c>
      <c r="H108" t="s">
        <v>605</v>
      </c>
      <c r="I108"/>
      <c r="J108" s="7"/>
      <c r="K108" s="7"/>
      <c r="L108" s="7"/>
      <c r="M108" s="7"/>
      <c r="N108" s="7"/>
      <c r="O108" s="7"/>
      <c r="P108" s="7"/>
      <c r="Q108" s="7"/>
      <c r="R108" s="7"/>
      <c r="S108" s="7"/>
      <c r="T108" s="7"/>
      <c r="U108" s="7"/>
      <c r="V108" s="7"/>
    </row>
    <row r="109" spans="1:22" ht="12.75" customHeight="1" outlineLevel="1">
      <c r="A109" s="392" t="str">
        <f>F_Inputs!B46</f>
        <v>C_APP27024_PD002</v>
      </c>
      <c r="B109" s="5"/>
      <c r="C109" s="7"/>
      <c r="E109" s="276" t="s">
        <v>204</v>
      </c>
      <c r="F109" s="136">
        <f>F_Inputs!R46</f>
        <v>0</v>
      </c>
      <c r="G109" s="166" t="s">
        <v>174</v>
      </c>
      <c r="H109" t="s">
        <v>605</v>
      </c>
      <c r="I109"/>
      <c r="J109" s="7"/>
      <c r="K109" s="7"/>
      <c r="L109" s="7"/>
      <c r="M109" s="7"/>
      <c r="N109" s="7"/>
      <c r="O109" s="7"/>
      <c r="P109" s="7"/>
      <c r="Q109" s="7"/>
      <c r="R109" s="7"/>
      <c r="S109" s="7"/>
      <c r="T109" s="7"/>
      <c r="U109" s="7"/>
      <c r="V109" s="7"/>
    </row>
    <row r="110" spans="1:22" ht="12.75" customHeight="1" outlineLevel="1">
      <c r="A110" s="392" t="str">
        <f>F_Inputs!B47</f>
        <v>C_WWS15019_PR19PD006</v>
      </c>
      <c r="B110" s="5"/>
      <c r="C110" s="7"/>
      <c r="E110" s="276" t="s">
        <v>206</v>
      </c>
      <c r="F110" s="136">
        <f>F_Inputs!R47</f>
        <v>0</v>
      </c>
      <c r="G110" s="166" t="s">
        <v>174</v>
      </c>
      <c r="H110" t="s">
        <v>605</v>
      </c>
      <c r="I110"/>
      <c r="J110" s="7"/>
      <c r="K110" s="7"/>
      <c r="L110" s="7"/>
      <c r="M110" s="7"/>
      <c r="N110" s="7"/>
      <c r="O110" s="7"/>
      <c r="P110" s="7"/>
      <c r="Q110" s="7"/>
      <c r="R110" s="7"/>
      <c r="S110" s="7"/>
      <c r="T110" s="7"/>
      <c r="U110" s="7"/>
      <c r="V110" s="7"/>
    </row>
    <row r="111" spans="1:22" ht="12.75" customHeight="1" outlineLevel="1">
      <c r="A111" s="392" t="str">
        <f>F_Inputs!B48</f>
        <v>C_WWS13026_PR19PD005</v>
      </c>
      <c r="B111" s="5"/>
      <c r="C111" s="7"/>
      <c r="E111" s="276" t="s">
        <v>619</v>
      </c>
      <c r="F111" s="136">
        <f>F_Inputs!R48</f>
        <v>0</v>
      </c>
      <c r="G111" s="166" t="s">
        <v>174</v>
      </c>
      <c r="H111" t="s">
        <v>614</v>
      </c>
      <c r="I111"/>
      <c r="J111" s="7"/>
      <c r="K111" s="7"/>
      <c r="L111" s="7"/>
      <c r="M111" s="7"/>
      <c r="N111" s="7"/>
      <c r="O111" s="7"/>
      <c r="P111" s="7"/>
      <c r="Q111" s="7"/>
      <c r="R111" s="7"/>
      <c r="S111" s="7"/>
      <c r="T111" s="7"/>
      <c r="U111" s="7"/>
      <c r="V111" s="7"/>
    </row>
    <row r="112" spans="1:22" ht="12.75" customHeight="1" outlineLevel="1">
      <c r="A112" s="393"/>
      <c r="B112" s="5"/>
      <c r="C112" s="7"/>
      <c r="E112" s="276"/>
      <c r="F112" s="4"/>
      <c r="G112" s="166"/>
      <c r="H112"/>
      <c r="I112"/>
      <c r="J112" s="7"/>
      <c r="K112" s="7"/>
      <c r="L112" s="7"/>
      <c r="M112" s="7"/>
      <c r="N112" s="7"/>
      <c r="O112" s="7"/>
      <c r="P112" s="7"/>
      <c r="Q112" s="7"/>
      <c r="R112" s="7"/>
      <c r="S112" s="7"/>
      <c r="T112" s="7"/>
      <c r="U112" s="7"/>
      <c r="V112" s="7"/>
    </row>
    <row r="113" spans="1:22" ht="12.75" customHeight="1" outlineLevel="1">
      <c r="A113" s="393"/>
      <c r="B113" s="5"/>
      <c r="C113" s="7"/>
      <c r="D113" s="10" t="s">
        <v>620</v>
      </c>
      <c r="E113" s="276"/>
      <c r="F113" s="4"/>
      <c r="G113" s="166"/>
      <c r="H113"/>
      <c r="I113"/>
      <c r="J113" s="7"/>
      <c r="K113" s="7"/>
      <c r="L113" s="7"/>
      <c r="M113" s="7"/>
      <c r="N113" s="7"/>
      <c r="O113" s="7"/>
      <c r="P113" s="7"/>
      <c r="Q113" s="7"/>
      <c r="R113" s="7"/>
      <c r="S113" s="7"/>
      <c r="T113" s="7"/>
      <c r="U113" s="7"/>
      <c r="V113" s="7"/>
    </row>
    <row r="114" spans="1:22" ht="12.75" customHeight="1" outlineLevel="1">
      <c r="A114" s="392" t="str">
        <f>F_Inputs!B49</f>
        <v>C_WWS15019_DMMY_PR19PD006</v>
      </c>
      <c r="B114" s="5"/>
      <c r="C114" s="7"/>
      <c r="E114" s="282" t="s">
        <v>621</v>
      </c>
      <c r="F114" s="136">
        <f>F_Inputs!R49</f>
        <v>0</v>
      </c>
      <c r="G114" s="283" t="s">
        <v>174</v>
      </c>
      <c r="H114" s="284" t="s">
        <v>605</v>
      </c>
      <c r="I114"/>
      <c r="J114" s="7"/>
      <c r="K114" s="7"/>
      <c r="L114" s="7"/>
      <c r="M114" s="7"/>
      <c r="N114" s="7"/>
      <c r="O114" s="7"/>
      <c r="P114" s="7"/>
      <c r="Q114" s="7"/>
      <c r="R114" s="7"/>
      <c r="S114" s="7"/>
      <c r="T114" s="7"/>
      <c r="U114" s="7"/>
      <c r="V114" s="7"/>
    </row>
    <row r="115" spans="1:22" ht="12.75" customHeight="1" outlineLevel="1">
      <c r="A115" s="392" t="str">
        <f>F_Inputs!B50</f>
        <v>C_WWS13026_DMMY_PR19PD005</v>
      </c>
      <c r="B115" s="5"/>
      <c r="C115" s="7"/>
      <c r="E115" s="308" t="s">
        <v>622</v>
      </c>
      <c r="F115" s="136">
        <f>F_Inputs!R50</f>
        <v>0</v>
      </c>
      <c r="G115" s="309" t="s">
        <v>174</v>
      </c>
      <c r="H115" s="310" t="s">
        <v>614</v>
      </c>
      <c r="I115"/>
      <c r="J115" s="7"/>
      <c r="K115" s="7"/>
      <c r="L115" s="7"/>
      <c r="M115" s="7"/>
      <c r="N115" s="7"/>
      <c r="O115" s="7"/>
      <c r="P115" s="7"/>
      <c r="Q115" s="7"/>
      <c r="R115" s="7"/>
      <c r="S115" s="7"/>
      <c r="T115" s="7"/>
      <c r="U115" s="7"/>
      <c r="V115" s="7"/>
    </row>
    <row r="116" spans="1:22" ht="12.75" customHeight="1" outlineLevel="1">
      <c r="A116" s="393"/>
      <c r="B116" s="5"/>
      <c r="C116" s="7"/>
      <c r="E116" s="7"/>
      <c r="F116" s="4"/>
      <c r="G116"/>
      <c r="H116"/>
      <c r="I116"/>
      <c r="J116" s="7"/>
      <c r="K116" s="7"/>
      <c r="L116" s="7"/>
      <c r="M116" s="7"/>
      <c r="N116" s="7"/>
      <c r="O116" s="7"/>
      <c r="P116" s="7"/>
      <c r="Q116" s="7"/>
      <c r="R116" s="7"/>
      <c r="S116" s="7"/>
      <c r="T116" s="7"/>
      <c r="U116" s="7"/>
      <c r="V116" s="7"/>
    </row>
    <row r="117" spans="1:22" ht="12.75" customHeight="1" outlineLevel="1">
      <c r="A117" s="361"/>
      <c r="B117" s="37" t="s">
        <v>623</v>
      </c>
      <c r="C117" s="37"/>
      <c r="D117" s="38"/>
      <c r="E117" s="38"/>
      <c r="F117" s="32"/>
      <c r="G117" s="33"/>
      <c r="H117" s="33"/>
    </row>
    <row r="118" spans="1:22" ht="12.75" customHeight="1" outlineLevel="1">
      <c r="A118" s="393"/>
      <c r="B118" s="5"/>
      <c r="C118" s="7"/>
      <c r="E118" s="7"/>
      <c r="F118" s="4"/>
      <c r="G118"/>
      <c r="H118"/>
      <c r="I118"/>
      <c r="J118" s="7"/>
      <c r="K118" s="7"/>
      <c r="L118" s="7"/>
      <c r="M118" s="7"/>
      <c r="N118" s="7"/>
      <c r="O118" s="7"/>
      <c r="P118" s="7"/>
      <c r="Q118" s="7"/>
      <c r="R118" s="7"/>
      <c r="S118" s="7"/>
      <c r="T118" s="7"/>
      <c r="U118" s="7"/>
      <c r="V118" s="7"/>
    </row>
    <row r="119" spans="1:22" ht="12.75" customHeight="1" outlineLevel="1">
      <c r="A119" s="392" t="str">
        <f>F_Inputs!B51</f>
        <v>C_APP27019_PD002</v>
      </c>
      <c r="B119" s="5"/>
      <c r="C119" s="7"/>
      <c r="E119" s="7" t="s">
        <v>214</v>
      </c>
      <c r="F119" s="136">
        <f>F_Inputs!R51</f>
        <v>0</v>
      </c>
      <c r="G119" s="166" t="s">
        <v>174</v>
      </c>
      <c r="H119" t="s">
        <v>605</v>
      </c>
      <c r="I119"/>
      <c r="J119" s="7"/>
      <c r="K119" s="7"/>
      <c r="L119" s="7"/>
      <c r="M119" s="7"/>
      <c r="N119" s="7"/>
      <c r="O119" s="7"/>
      <c r="P119" s="7"/>
      <c r="Q119" s="7"/>
      <c r="R119" s="7"/>
      <c r="S119" s="7"/>
      <c r="T119" s="7"/>
      <c r="U119" s="7"/>
      <c r="V119" s="7"/>
    </row>
    <row r="120" spans="1:22" ht="12.75" customHeight="1" outlineLevel="1">
      <c r="A120" s="392" t="str">
        <f>F_Inputs!B52</f>
        <v>C_APP27026_PD002</v>
      </c>
      <c r="B120" s="5"/>
      <c r="C120" s="7"/>
      <c r="E120" s="7" t="s">
        <v>216</v>
      </c>
      <c r="F120" s="136">
        <f>F_Inputs!R52</f>
        <v>0</v>
      </c>
      <c r="G120" s="166" t="s">
        <v>174</v>
      </c>
      <c r="H120" t="s">
        <v>605</v>
      </c>
      <c r="I120"/>
      <c r="J120" s="7"/>
      <c r="K120" s="7"/>
      <c r="L120" s="7"/>
      <c r="M120" s="7"/>
      <c r="N120" s="7"/>
      <c r="O120" s="7"/>
      <c r="P120" s="7"/>
      <c r="Q120" s="7"/>
      <c r="R120" s="7"/>
      <c r="S120" s="7"/>
      <c r="T120" s="7"/>
      <c r="U120" s="7"/>
      <c r="V120" s="7"/>
    </row>
    <row r="121" spans="1:22" ht="12.75" customHeight="1" outlineLevel="1">
      <c r="A121" s="392" t="str">
        <f>F_Inputs!B53</f>
        <v>C_R9045_PR19PD008</v>
      </c>
      <c r="B121" s="5"/>
      <c r="C121" s="7"/>
      <c r="E121" s="276" t="s">
        <v>624</v>
      </c>
      <c r="F121" s="405">
        <v>1.345</v>
      </c>
      <c r="G121" s="166" t="s">
        <v>174</v>
      </c>
      <c r="H121" t="s">
        <v>625</v>
      </c>
      <c r="I121"/>
      <c r="J121" s="7"/>
      <c r="K121" s="7"/>
      <c r="L121" s="7"/>
      <c r="M121" s="7"/>
      <c r="N121" s="7"/>
      <c r="O121" s="7"/>
      <c r="P121" s="7"/>
      <c r="Q121" s="7"/>
      <c r="R121" s="7"/>
      <c r="S121" s="7"/>
      <c r="T121" s="7"/>
      <c r="U121" s="7"/>
      <c r="V121" s="7"/>
    </row>
    <row r="122" spans="1:22" ht="12.75" customHeight="1" outlineLevel="1">
      <c r="A122" s="392" t="str">
        <f>F_Inputs!B54</f>
        <v>C_R10009_PR19PD009</v>
      </c>
      <c r="B122" s="5"/>
      <c r="C122" s="7"/>
      <c r="E122" s="276" t="s">
        <v>626</v>
      </c>
      <c r="F122" s="405">
        <v>-12.191000000000001</v>
      </c>
      <c r="G122" s="166" t="s">
        <v>174</v>
      </c>
      <c r="H122" t="s">
        <v>607</v>
      </c>
      <c r="I122"/>
      <c r="J122" s="7"/>
      <c r="K122" s="7"/>
      <c r="L122" s="7"/>
      <c r="M122" s="7"/>
      <c r="N122" s="7"/>
      <c r="O122" s="7"/>
      <c r="P122" s="7"/>
      <c r="Q122" s="7"/>
      <c r="R122" s="7"/>
      <c r="S122" s="7"/>
      <c r="T122" s="7"/>
      <c r="U122" s="7"/>
      <c r="V122" s="7"/>
    </row>
    <row r="123" spans="1:22" ht="12.75" customHeight="1" outlineLevel="1">
      <c r="A123" s="393"/>
      <c r="B123" s="5"/>
      <c r="C123" s="7"/>
      <c r="E123" s="7"/>
      <c r="F123" s="4"/>
      <c r="G123"/>
      <c r="H123"/>
      <c r="I123"/>
      <c r="J123" s="7"/>
      <c r="K123" s="7"/>
      <c r="L123" s="7"/>
      <c r="M123" s="7"/>
      <c r="N123" s="7"/>
      <c r="O123" s="7"/>
      <c r="P123" s="7"/>
      <c r="Q123" s="7"/>
      <c r="R123" s="7"/>
      <c r="S123" s="7"/>
      <c r="T123" s="7"/>
      <c r="U123" s="7"/>
      <c r="V123" s="7"/>
    </row>
    <row r="124" spans="1:22" ht="12.75" customHeight="1" outlineLevel="1">
      <c r="A124" s="361"/>
      <c r="B124" s="37" t="s">
        <v>627</v>
      </c>
      <c r="C124" s="37"/>
      <c r="D124" s="38"/>
      <c r="E124" s="38"/>
      <c r="F124" s="32"/>
      <c r="G124" s="33"/>
      <c r="H124" s="33"/>
    </row>
    <row r="125" spans="1:22" ht="12.75" customHeight="1" outlineLevel="1">
      <c r="A125" s="393"/>
      <c r="B125" s="5"/>
      <c r="C125" s="7"/>
      <c r="E125" s="7"/>
      <c r="F125" s="4"/>
      <c r="G125"/>
      <c r="H125"/>
      <c r="I125"/>
      <c r="J125" s="7"/>
      <c r="K125" s="7"/>
      <c r="L125" s="7"/>
      <c r="M125" s="7"/>
      <c r="N125" s="7"/>
      <c r="O125" s="7"/>
      <c r="P125" s="7"/>
      <c r="Q125" s="7"/>
      <c r="R125" s="7"/>
      <c r="S125" s="7"/>
      <c r="T125" s="7"/>
      <c r="U125" s="7"/>
      <c r="V125" s="7"/>
    </row>
    <row r="126" spans="1:22" ht="12.75" customHeight="1" outlineLevel="1">
      <c r="A126" s="392" t="str">
        <f>F_Inputs!B55</f>
        <v>C_APP27020_PD002</v>
      </c>
      <c r="B126" s="5"/>
      <c r="C126" s="7"/>
      <c r="E126" s="7" t="s">
        <v>222</v>
      </c>
      <c r="F126" s="136">
        <f>F_Inputs!R55</f>
        <v>0</v>
      </c>
      <c r="G126" s="166" t="s">
        <v>174</v>
      </c>
      <c r="H126" t="s">
        <v>605</v>
      </c>
      <c r="I126"/>
      <c r="J126" s="7"/>
      <c r="K126" s="7"/>
      <c r="L126" s="7"/>
      <c r="M126" s="7"/>
      <c r="N126" s="7"/>
      <c r="O126" s="7"/>
      <c r="P126" s="7"/>
      <c r="Q126" s="7"/>
      <c r="R126" s="7"/>
      <c r="S126" s="7"/>
      <c r="T126" s="7"/>
      <c r="U126" s="7"/>
      <c r="V126" s="7"/>
    </row>
    <row r="127" spans="1:22" ht="12.75" customHeight="1" outlineLevel="1">
      <c r="A127" s="392" t="str">
        <f>F_Inputs!B56</f>
        <v>C_APP27027_PD002</v>
      </c>
      <c r="B127" s="5"/>
      <c r="C127" s="7"/>
      <c r="E127" s="7" t="s">
        <v>224</v>
      </c>
      <c r="F127" s="136">
        <f>F_Inputs!R56</f>
        <v>0</v>
      </c>
      <c r="G127" s="166" t="s">
        <v>174</v>
      </c>
      <c r="H127" t="s">
        <v>605</v>
      </c>
      <c r="I127"/>
      <c r="J127" s="7"/>
      <c r="K127" s="7"/>
      <c r="L127" s="7"/>
      <c r="M127" s="7"/>
      <c r="N127" s="7"/>
      <c r="O127" s="7"/>
      <c r="P127" s="7"/>
      <c r="Q127" s="7"/>
      <c r="R127" s="7"/>
      <c r="S127" s="7"/>
      <c r="T127" s="7"/>
      <c r="U127" s="7"/>
      <c r="V127" s="7"/>
    </row>
    <row r="128" spans="1:22" ht="12.75" customHeight="1" outlineLevel="1">
      <c r="A128" s="393"/>
      <c r="B128" s="5"/>
      <c r="C128" s="7"/>
      <c r="E128" s="7"/>
      <c r="F128" s="4"/>
      <c r="G128"/>
      <c r="H128"/>
      <c r="I128"/>
      <c r="J128" s="7"/>
      <c r="K128" s="7"/>
      <c r="L128" s="7"/>
      <c r="M128" s="7"/>
      <c r="N128" s="7"/>
      <c r="O128" s="7"/>
      <c r="P128" s="7"/>
      <c r="Q128" s="7"/>
      <c r="R128" s="7"/>
      <c r="S128" s="7"/>
      <c r="T128" s="7"/>
      <c r="U128" s="7"/>
      <c r="V128" s="7"/>
    </row>
    <row r="129" spans="1:22" ht="12.75" customHeight="1">
      <c r="A129" s="393"/>
      <c r="B129" s="5"/>
      <c r="C129" s="7"/>
      <c r="E129" s="7"/>
      <c r="F129" s="4"/>
      <c r="G129"/>
      <c r="H129"/>
      <c r="I129"/>
      <c r="J129" s="7"/>
      <c r="K129" s="7"/>
      <c r="L129" s="7"/>
      <c r="M129" s="7"/>
      <c r="N129" s="7"/>
      <c r="O129" s="7"/>
      <c r="P129" s="7"/>
      <c r="Q129" s="7"/>
      <c r="R129" s="7"/>
      <c r="S129" s="7"/>
      <c r="T129" s="7"/>
      <c r="U129" s="7"/>
      <c r="V129" s="7"/>
    </row>
    <row r="130" spans="1:22" ht="12.75" customHeight="1">
      <c r="A130" s="39" t="s">
        <v>628</v>
      </c>
      <c r="B130" s="39"/>
      <c r="C130" s="40"/>
      <c r="D130" s="39"/>
      <c r="E130" s="39"/>
      <c r="F130" s="39"/>
      <c r="G130" s="39"/>
      <c r="H130" s="39"/>
      <c r="I130" s="39"/>
      <c r="J130" s="39"/>
      <c r="K130" s="39"/>
      <c r="L130" s="39"/>
      <c r="M130" s="39"/>
      <c r="N130" s="39"/>
      <c r="O130" s="39"/>
      <c r="P130" s="39"/>
      <c r="Q130" s="39"/>
      <c r="R130" s="39"/>
      <c r="S130" s="39"/>
      <c r="T130" s="39"/>
      <c r="U130" s="39"/>
      <c r="V130" s="39"/>
    </row>
    <row r="131" spans="1:22" ht="12.75" customHeight="1" outlineLevel="1">
      <c r="A131" s="361"/>
      <c r="C131"/>
      <c r="E131"/>
      <c r="F131" s="4"/>
      <c r="G131" s="33"/>
      <c r="H131" s="33"/>
      <c r="I131"/>
      <c r="J131"/>
      <c r="K131"/>
      <c r="L131"/>
      <c r="M131"/>
      <c r="N131"/>
      <c r="O131"/>
      <c r="P131"/>
      <c r="Q131"/>
      <c r="R131"/>
      <c r="S131"/>
      <c r="T131"/>
      <c r="U131"/>
      <c r="V131"/>
    </row>
    <row r="132" spans="1:22" ht="12.75" customHeight="1" outlineLevel="1">
      <c r="A132" s="361"/>
      <c r="B132" s="37" t="s">
        <v>629</v>
      </c>
      <c r="C132" s="37"/>
      <c r="D132" s="38"/>
      <c r="E132" s="38"/>
      <c r="F132" s="32"/>
      <c r="G132" s="33"/>
      <c r="H132" s="33"/>
    </row>
    <row r="133" spans="1:22" ht="12.75" customHeight="1" outlineLevel="1">
      <c r="A133" s="361"/>
      <c r="C133" s="10"/>
      <c r="F133" s="32"/>
      <c r="G133" s="33"/>
      <c r="H133" s="33"/>
    </row>
    <row r="134" spans="1:22" s="148" customFormat="1" ht="12.75" customHeight="1" outlineLevel="1">
      <c r="A134" s="358" t="s">
        <v>630</v>
      </c>
      <c r="B134" s="215"/>
      <c r="C134" s="162"/>
      <c r="D134" s="162"/>
      <c r="E134" s="216" t="s">
        <v>270</v>
      </c>
      <c r="F134" s="217">
        <v>44286</v>
      </c>
      <c r="G134" s="218" t="s">
        <v>545</v>
      </c>
      <c r="H134" s="219"/>
      <c r="I134" s="215"/>
      <c r="J134" s="219"/>
      <c r="K134" s="219"/>
      <c r="L134" s="219"/>
      <c r="M134" s="219"/>
      <c r="N134" s="219"/>
      <c r="O134" s="219"/>
      <c r="P134" s="219"/>
      <c r="Q134" s="219"/>
      <c r="R134" s="219"/>
      <c r="S134" s="219"/>
      <c r="T134" s="219"/>
      <c r="U134" s="219"/>
      <c r="V134" s="219"/>
    </row>
    <row r="135" spans="1:22" ht="12.75" customHeight="1" outlineLevel="1">
      <c r="A135" s="361"/>
      <c r="B135" s="5"/>
      <c r="C135" s="14"/>
      <c r="E135" s="14"/>
      <c r="F135" s="20"/>
      <c r="G135" s="33"/>
      <c r="H135" s="14"/>
      <c r="I135" s="14"/>
      <c r="J135" s="14"/>
      <c r="K135" s="14"/>
      <c r="L135" s="14"/>
      <c r="M135" s="14"/>
      <c r="N135" s="14"/>
      <c r="O135" s="14"/>
      <c r="P135" s="14"/>
      <c r="Q135" s="14"/>
      <c r="R135" s="14"/>
      <c r="S135" s="14"/>
      <c r="T135" s="14"/>
      <c r="U135" s="14"/>
      <c r="V135" s="14"/>
    </row>
    <row r="136" spans="1:22" s="202" customFormat="1" outlineLevel="1">
      <c r="A136" s="394" t="s">
        <v>631</v>
      </c>
      <c r="B136" s="199"/>
      <c r="C136" s="200"/>
      <c r="D136" s="201"/>
      <c r="E136" s="202" t="s">
        <v>272</v>
      </c>
      <c r="F136" s="223">
        <v>3.09E-2</v>
      </c>
      <c r="G136" s="202" t="s">
        <v>273</v>
      </c>
    </row>
    <row r="137" spans="1:22" s="202" customFormat="1" outlineLevel="1">
      <c r="A137" s="394" t="s">
        <v>632</v>
      </c>
      <c r="B137" s="199"/>
      <c r="C137" s="200"/>
      <c r="D137" s="201"/>
      <c r="E137" s="202" t="s">
        <v>275</v>
      </c>
      <c r="F137" s="223">
        <v>3.09E-2</v>
      </c>
      <c r="G137" s="202" t="s">
        <v>273</v>
      </c>
    </row>
    <row r="138" spans="1:22" s="202" customFormat="1" outlineLevel="1">
      <c r="A138" s="394" t="s">
        <v>633</v>
      </c>
      <c r="B138" s="199"/>
      <c r="C138" s="200"/>
      <c r="D138" s="201"/>
      <c r="E138" s="202" t="s">
        <v>277</v>
      </c>
      <c r="F138" s="223">
        <v>3.09E-2</v>
      </c>
      <c r="G138" s="202" t="s">
        <v>273</v>
      </c>
    </row>
    <row r="139" spans="1:22" s="202" customFormat="1" outlineLevel="1">
      <c r="A139" s="394" t="s">
        <v>634</v>
      </c>
      <c r="B139" s="199"/>
      <c r="C139" s="200"/>
      <c r="D139" s="201"/>
      <c r="E139" s="202" t="s">
        <v>279</v>
      </c>
      <c r="F139" s="223">
        <v>3.09E-2</v>
      </c>
      <c r="G139" s="202" t="s">
        <v>273</v>
      </c>
    </row>
    <row r="140" spans="1:22" s="202" customFormat="1" outlineLevel="1">
      <c r="A140" s="394" t="s">
        <v>635</v>
      </c>
      <c r="B140" s="199"/>
      <c r="C140" s="200"/>
      <c r="D140" s="201"/>
      <c r="E140" s="296" t="s">
        <v>281</v>
      </c>
      <c r="F140" s="223">
        <v>3.09E-2</v>
      </c>
      <c r="G140" s="296" t="s">
        <v>273</v>
      </c>
      <c r="H140" s="296"/>
    </row>
    <row r="141" spans="1:22" s="202" customFormat="1" outlineLevel="1">
      <c r="A141" s="394" t="s">
        <v>636</v>
      </c>
      <c r="B141" s="199"/>
      <c r="C141" s="200"/>
      <c r="D141" s="201"/>
      <c r="E141" s="202" t="s">
        <v>283</v>
      </c>
      <c r="F141" s="223">
        <v>3.09E-2</v>
      </c>
      <c r="G141" s="202" t="s">
        <v>273</v>
      </c>
    </row>
    <row r="142" spans="1:22" s="202" customFormat="1" outlineLevel="1">
      <c r="A142" s="394" t="s">
        <v>637</v>
      </c>
      <c r="B142" s="199"/>
      <c r="C142" s="200"/>
      <c r="D142" s="201"/>
      <c r="E142" s="202" t="s">
        <v>285</v>
      </c>
      <c r="F142" s="223">
        <v>3.09E-2</v>
      </c>
      <c r="G142" s="202" t="s">
        <v>273</v>
      </c>
    </row>
    <row r="143" spans="1:22" s="202" customFormat="1" outlineLevel="1">
      <c r="A143" s="395"/>
      <c r="B143" s="199"/>
      <c r="C143" s="200"/>
      <c r="D143" s="201"/>
    </row>
    <row r="144" spans="1:22" ht="12.75" customHeight="1" outlineLevel="1">
      <c r="A144" s="394" t="s">
        <v>638</v>
      </c>
      <c r="B144" s="5"/>
      <c r="C144" s="3"/>
      <c r="E144" t="s">
        <v>287</v>
      </c>
      <c r="F144" s="136">
        <v>5</v>
      </c>
      <c r="G144" t="s">
        <v>425</v>
      </c>
      <c r="I144" s="14"/>
      <c r="J144" s="14"/>
      <c r="N144" s="14"/>
      <c r="O144" s="14"/>
      <c r="P144" s="14"/>
      <c r="Q144" s="14"/>
      <c r="R144" s="14"/>
      <c r="S144" s="14"/>
      <c r="T144" s="14"/>
      <c r="U144" s="14"/>
      <c r="V144" s="14"/>
    </row>
    <row r="145" spans="1:22" ht="12.75" customHeight="1" outlineLevel="1">
      <c r="A145" s="361"/>
      <c r="B145" s="5"/>
      <c r="C145" s="14"/>
      <c r="E145" s="33"/>
      <c r="F145" s="317"/>
      <c r="G145" s="33"/>
      <c r="H145" s="14"/>
      <c r="I145" s="14"/>
      <c r="J145" s="14"/>
      <c r="N145" s="14"/>
      <c r="O145" s="14"/>
      <c r="P145" s="14"/>
      <c r="Q145" s="14"/>
      <c r="R145" s="14"/>
      <c r="S145" s="14"/>
      <c r="T145" s="14"/>
      <c r="U145" s="14"/>
      <c r="V145" s="14"/>
    </row>
    <row r="146" spans="1:22" ht="12.75" customHeight="1" outlineLevel="1">
      <c r="A146" s="361"/>
      <c r="B146" s="37" t="s">
        <v>639</v>
      </c>
      <c r="C146" s="37"/>
      <c r="D146" s="38"/>
      <c r="E146" s="38"/>
      <c r="F146" s="32"/>
      <c r="G146" s="33"/>
      <c r="H146" s="33"/>
    </row>
    <row r="147" spans="1:22" ht="12.75" customHeight="1" outlineLevel="1">
      <c r="A147" s="361"/>
      <c r="C147"/>
      <c r="H147" s="33"/>
      <c r="I147"/>
      <c r="J147"/>
      <c r="N147"/>
      <c r="O147"/>
      <c r="P147"/>
      <c r="Q147"/>
      <c r="R147"/>
      <c r="S147"/>
      <c r="T147"/>
      <c r="U147"/>
      <c r="V147"/>
    </row>
    <row r="148" spans="1:22" ht="12.75" customHeight="1" outlineLevel="1">
      <c r="A148" s="361" t="s">
        <v>640</v>
      </c>
      <c r="E148" t="s">
        <v>289</v>
      </c>
      <c r="F148" s="224">
        <v>2</v>
      </c>
      <c r="G148" t="s">
        <v>641</v>
      </c>
      <c r="H148" s="20"/>
      <c r="I148" s="20"/>
      <c r="J148" s="20"/>
      <c r="K148" s="20"/>
      <c r="L148" s="20"/>
      <c r="M148" s="20"/>
      <c r="N148" s="20"/>
      <c r="O148" s="20"/>
      <c r="P148" s="20"/>
      <c r="Q148" s="20"/>
      <c r="R148" s="20"/>
      <c r="S148" s="20"/>
      <c r="T148" s="20"/>
      <c r="U148" s="20"/>
      <c r="V148" s="20"/>
    </row>
    <row r="149" spans="1:22" ht="12.75" customHeight="1" outlineLevel="1">
      <c r="A149" s="361" t="s">
        <v>642</v>
      </c>
      <c r="B149" s="22"/>
      <c r="C149" s="23"/>
      <c r="E149" t="s">
        <v>291</v>
      </c>
      <c r="F149" s="224">
        <v>2</v>
      </c>
      <c r="G149" t="s">
        <v>641</v>
      </c>
      <c r="H149" s="19"/>
      <c r="I149" s="19"/>
      <c r="J149" s="19"/>
      <c r="K149" s="19"/>
      <c r="L149" s="19"/>
      <c r="M149" s="19"/>
      <c r="N149" s="19"/>
      <c r="O149" s="19"/>
      <c r="P149" s="19"/>
      <c r="Q149" s="19"/>
      <c r="R149" s="19"/>
      <c r="S149" s="19"/>
      <c r="T149" s="19"/>
      <c r="U149" s="19"/>
      <c r="V149" s="19"/>
    </row>
    <row r="150" spans="1:22" ht="12.75" customHeight="1" outlineLevel="1">
      <c r="A150" s="361" t="s">
        <v>643</v>
      </c>
      <c r="E150" t="s">
        <v>293</v>
      </c>
      <c r="F150" s="224">
        <v>0</v>
      </c>
      <c r="G150" t="s">
        <v>641</v>
      </c>
      <c r="H150" s="20"/>
      <c r="I150" s="20"/>
      <c r="J150" s="20"/>
      <c r="K150" s="20"/>
      <c r="L150" s="20"/>
      <c r="M150" s="20"/>
      <c r="N150" s="20"/>
      <c r="O150" s="20"/>
      <c r="P150" s="20"/>
      <c r="Q150" s="20"/>
      <c r="R150" s="20"/>
      <c r="S150" s="20"/>
      <c r="T150" s="20"/>
      <c r="U150" s="20"/>
      <c r="V150" s="20"/>
    </row>
    <row r="151" spans="1:22" ht="12.75" customHeight="1" outlineLevel="1">
      <c r="A151" s="361" t="s">
        <v>644</v>
      </c>
      <c r="B151" s="22"/>
      <c r="C151" s="23"/>
      <c r="E151" t="s">
        <v>295</v>
      </c>
      <c r="F151" s="224">
        <v>0</v>
      </c>
      <c r="G151" t="s">
        <v>641</v>
      </c>
      <c r="H151" s="19"/>
      <c r="I151" s="19"/>
      <c r="J151" s="19"/>
      <c r="K151" s="19"/>
      <c r="L151" s="19"/>
      <c r="M151" s="19"/>
      <c r="N151" s="19"/>
      <c r="O151" s="19"/>
      <c r="P151" s="19"/>
      <c r="Q151" s="19"/>
      <c r="R151" s="19"/>
      <c r="S151" s="19"/>
      <c r="T151" s="19"/>
      <c r="U151" s="19"/>
      <c r="V151" s="19"/>
    </row>
    <row r="152" spans="1:22" ht="12.75" customHeight="1" outlineLevel="1">
      <c r="A152" s="361" t="s">
        <v>645</v>
      </c>
      <c r="B152" s="22"/>
      <c r="C152" s="23"/>
      <c r="E152" s="284" t="s">
        <v>297</v>
      </c>
      <c r="F152" s="224">
        <v>0</v>
      </c>
      <c r="G152" s="284" t="s">
        <v>641</v>
      </c>
      <c r="H152" s="297"/>
      <c r="I152" s="19"/>
      <c r="J152" s="19"/>
      <c r="K152" s="19"/>
      <c r="L152" s="19"/>
      <c r="M152" s="19"/>
      <c r="N152" s="19"/>
      <c r="O152" s="19"/>
      <c r="P152" s="19"/>
      <c r="Q152" s="19"/>
      <c r="R152" s="19"/>
      <c r="S152" s="19"/>
      <c r="T152" s="19"/>
      <c r="U152" s="19"/>
      <c r="V152" s="19"/>
    </row>
    <row r="153" spans="1:22" ht="12.75" customHeight="1" outlineLevel="1">
      <c r="A153" s="361" t="s">
        <v>646</v>
      </c>
      <c r="B153" s="5"/>
      <c r="C153" s="7"/>
      <c r="E153" t="s">
        <v>299</v>
      </c>
      <c r="F153" s="224">
        <v>2</v>
      </c>
      <c r="G153" t="s">
        <v>641</v>
      </c>
      <c r="H153"/>
      <c r="I153"/>
      <c r="J153" s="7"/>
      <c r="K153" s="7"/>
      <c r="L153" s="7"/>
      <c r="M153" s="7"/>
      <c r="N153" s="7"/>
      <c r="O153" s="7"/>
      <c r="P153" s="7"/>
      <c r="Q153" s="7"/>
      <c r="R153" s="7"/>
      <c r="S153" s="7"/>
      <c r="T153" s="7"/>
      <c r="U153" s="7"/>
      <c r="V153" s="7"/>
    </row>
    <row r="154" spans="1:22" ht="12.75" customHeight="1" outlineLevel="1">
      <c r="A154" s="361" t="s">
        <v>647</v>
      </c>
      <c r="E154" t="s">
        <v>301</v>
      </c>
      <c r="F154" s="224">
        <v>0</v>
      </c>
      <c r="G154" t="s">
        <v>641</v>
      </c>
      <c r="H154" s="20"/>
      <c r="I154" s="20"/>
      <c r="J154" s="20"/>
      <c r="K154" s="20"/>
      <c r="L154" s="20"/>
      <c r="M154" s="20"/>
      <c r="N154" s="20"/>
      <c r="O154" s="20"/>
      <c r="P154" s="20"/>
      <c r="Q154" s="20"/>
      <c r="R154" s="20"/>
      <c r="S154" s="20"/>
      <c r="T154" s="20"/>
      <c r="U154" s="20"/>
      <c r="V154" s="20"/>
    </row>
    <row r="155" spans="1:22" ht="12.75" customHeight="1" outlineLevel="1">
      <c r="A155" s="361"/>
      <c r="B155" s="5"/>
      <c r="C155" s="7"/>
      <c r="E155" s="7"/>
      <c r="F155" s="4"/>
      <c r="G155"/>
      <c r="H155"/>
      <c r="I155"/>
      <c r="J155" s="7"/>
      <c r="K155" s="7"/>
      <c r="L155" s="7"/>
      <c r="M155" s="7"/>
      <c r="N155" s="7"/>
      <c r="O155" s="7"/>
      <c r="P155" s="7"/>
      <c r="Q155" s="7"/>
      <c r="R155" s="7"/>
      <c r="S155" s="7"/>
      <c r="T155" s="7"/>
      <c r="U155" s="7"/>
      <c r="V155" s="7"/>
    </row>
    <row r="156" spans="1:22" ht="12.75" customHeight="1">
      <c r="A156" s="361"/>
      <c r="B156" s="5"/>
      <c r="C156" s="7"/>
      <c r="E156" s="7"/>
      <c r="F156" s="4"/>
      <c r="G156"/>
      <c r="H156"/>
      <c r="I156"/>
      <c r="J156" s="7"/>
      <c r="K156" s="7"/>
      <c r="L156" s="7"/>
      <c r="M156" s="7"/>
      <c r="N156" s="7"/>
      <c r="O156" s="7"/>
      <c r="P156" s="7"/>
      <c r="Q156" s="7"/>
      <c r="R156" s="7"/>
      <c r="S156" s="7"/>
      <c r="T156" s="7"/>
      <c r="U156" s="7"/>
      <c r="V156" s="7"/>
    </row>
    <row r="157" spans="1:22" ht="12.75" customHeight="1">
      <c r="A157" s="39" t="s">
        <v>648</v>
      </c>
      <c r="B157" s="39"/>
      <c r="C157" s="40"/>
      <c r="D157" s="39"/>
      <c r="E157" s="39"/>
      <c r="F157" s="39"/>
      <c r="G157" s="39"/>
      <c r="H157" s="39"/>
      <c r="I157" s="39"/>
      <c r="J157" s="39"/>
      <c r="K157" s="39"/>
      <c r="L157" s="39"/>
      <c r="M157" s="39"/>
      <c r="N157" s="39"/>
      <c r="O157" s="39"/>
      <c r="P157" s="39"/>
      <c r="Q157" s="39"/>
      <c r="R157" s="39"/>
      <c r="S157" s="39"/>
      <c r="T157" s="39"/>
      <c r="U157" s="39"/>
      <c r="V157" s="39"/>
    </row>
    <row r="158" spans="1:22" ht="12.75" customHeight="1" outlineLevel="1">
      <c r="A158" s="361"/>
      <c r="B158" s="5"/>
      <c r="C158" s="7"/>
      <c r="E158" s="7"/>
      <c r="F158" s="7"/>
      <c r="G158" s="8"/>
      <c r="H158" s="8"/>
      <c r="I158" s="7"/>
      <c r="J158" s="7"/>
      <c r="K158" s="7"/>
      <c r="L158" s="7"/>
      <c r="M158" s="7"/>
      <c r="N158" s="7"/>
      <c r="O158" s="7"/>
      <c r="P158" s="7"/>
      <c r="Q158" s="7"/>
      <c r="R158" s="7"/>
      <c r="S158" s="7"/>
      <c r="T158" s="7"/>
      <c r="U158" s="7"/>
      <c r="V158" s="7"/>
    </row>
    <row r="159" spans="1:22" ht="12.75" customHeight="1" outlineLevel="1">
      <c r="A159" s="361" t="s">
        <v>649</v>
      </c>
      <c r="B159" s="5"/>
      <c r="C159" s="14"/>
      <c r="E159" s="3" t="s">
        <v>264</v>
      </c>
      <c r="F159" s="127">
        <v>12</v>
      </c>
      <c r="G159" s="3" t="s">
        <v>650</v>
      </c>
      <c r="I159" s="14"/>
      <c r="J159" s="14"/>
      <c r="K159" s="14"/>
      <c r="L159" s="14"/>
      <c r="M159" s="14"/>
      <c r="N159" s="14"/>
      <c r="O159" s="14"/>
      <c r="P159" s="14"/>
      <c r="Q159" s="14"/>
      <c r="R159" s="14"/>
      <c r="S159" s="14"/>
      <c r="T159" s="14"/>
      <c r="U159" s="14"/>
      <c r="V159" s="14"/>
    </row>
    <row r="160" spans="1:22" ht="12.75" customHeight="1" outlineLevel="1">
      <c r="A160" s="361"/>
      <c r="B160" s="5"/>
      <c r="C160" s="14"/>
      <c r="E160" s="33"/>
      <c r="F160" s="317"/>
      <c r="G160" s="33"/>
      <c r="H160" s="33"/>
      <c r="I160" s="14"/>
      <c r="J160" s="14"/>
      <c r="K160" s="14"/>
      <c r="L160" s="14"/>
      <c r="M160" s="14"/>
      <c r="N160" s="14"/>
      <c r="O160" s="14"/>
      <c r="P160" s="14"/>
      <c r="Q160" s="14"/>
      <c r="R160" s="14"/>
      <c r="S160" s="14"/>
      <c r="T160" s="14"/>
      <c r="U160" s="14"/>
      <c r="V160" s="14"/>
    </row>
    <row r="161" spans="1:22" ht="12.75" customHeight="1" outlineLevel="1">
      <c r="A161" s="361" t="s">
        <v>651</v>
      </c>
      <c r="B161" s="5"/>
      <c r="C161" s="14"/>
      <c r="E161" s="3" t="s">
        <v>266</v>
      </c>
      <c r="F161" s="127">
        <v>12</v>
      </c>
      <c r="G161" s="3" t="s">
        <v>650</v>
      </c>
      <c r="I161" s="14"/>
      <c r="J161" s="14"/>
      <c r="K161" s="14"/>
      <c r="L161" s="14"/>
      <c r="M161" s="14"/>
      <c r="N161" s="14"/>
      <c r="O161" s="14"/>
      <c r="P161" s="14"/>
      <c r="Q161" s="14"/>
      <c r="R161" s="14"/>
      <c r="S161" s="14"/>
      <c r="T161" s="14"/>
      <c r="U161" s="14"/>
      <c r="V161" s="14"/>
    </row>
    <row r="162" spans="1:22" ht="12.75" customHeight="1" outlineLevel="1">
      <c r="A162" s="361"/>
      <c r="B162" s="5"/>
      <c r="C162" s="14"/>
      <c r="I162" s="14"/>
      <c r="J162" s="14"/>
      <c r="K162" s="14"/>
      <c r="L162" s="14"/>
      <c r="M162" s="14"/>
      <c r="N162" s="14"/>
      <c r="O162" s="14"/>
      <c r="P162" s="14"/>
      <c r="Q162" s="14"/>
      <c r="R162" s="14"/>
      <c r="S162" s="14"/>
      <c r="T162" s="14"/>
      <c r="U162" s="14"/>
      <c r="V162" s="14"/>
    </row>
    <row r="163" spans="1:22" ht="12.75" customHeight="1" outlineLevel="1">
      <c r="A163" s="361" t="s">
        <v>652</v>
      </c>
      <c r="C163"/>
      <c r="E163" s="3" t="s">
        <v>268</v>
      </c>
      <c r="F163" s="127">
        <v>365</v>
      </c>
      <c r="G163" s="3" t="s">
        <v>653</v>
      </c>
      <c r="H163" s="33"/>
      <c r="I163" s="14"/>
      <c r="J163"/>
      <c r="K163"/>
      <c r="L163"/>
      <c r="M163"/>
      <c r="N163"/>
      <c r="O163"/>
      <c r="P163"/>
      <c r="Q163"/>
      <c r="R163"/>
      <c r="S163"/>
      <c r="T163"/>
      <c r="U163"/>
      <c r="V163"/>
    </row>
    <row r="164" spans="1:22" ht="12.75" customHeight="1" outlineLevel="1">
      <c r="A164" s="361"/>
      <c r="C164"/>
      <c r="H164" s="33"/>
      <c r="I164" s="14"/>
      <c r="J164"/>
      <c r="K164"/>
      <c r="L164"/>
      <c r="M164"/>
      <c r="N164"/>
      <c r="O164"/>
      <c r="P164"/>
      <c r="Q164"/>
      <c r="R164"/>
      <c r="S164"/>
      <c r="T164"/>
      <c r="U164"/>
      <c r="V164"/>
    </row>
    <row r="165" spans="1:22">
      <c r="A165" s="356"/>
    </row>
    <row r="166" spans="1:22" s="131" customFormat="1">
      <c r="A166" s="125"/>
      <c r="B166" s="125"/>
      <c r="C166" s="132"/>
      <c r="D166" s="104"/>
      <c r="E166" s="104" t="s">
        <v>540</v>
      </c>
      <c r="F166" s="137"/>
      <c r="G166" s="125"/>
      <c r="H166" s="137"/>
      <c r="I166" s="104"/>
      <c r="J166" s="104"/>
      <c r="K166" s="104"/>
      <c r="L166" s="104"/>
      <c r="M166" s="104"/>
      <c r="N166" s="104"/>
      <c r="O166" s="104"/>
      <c r="P166" s="104"/>
      <c r="Q166" s="104"/>
      <c r="R166" s="104"/>
      <c r="S166" s="104"/>
      <c r="T166" s="104"/>
      <c r="U166" s="104"/>
      <c r="V166" s="104"/>
    </row>
  </sheetData>
  <conditionalFormatting sqref="A5">
    <cfRule type="cellIs" dxfId="45" priority="4321" stopIfTrue="1" operator="notEqual">
      <formula>0</formula>
    </cfRule>
    <cfRule type="cellIs" dxfId="44" priority="4322" stopIfTrue="1" operator="equal">
      <formula>""</formula>
    </cfRule>
  </conditionalFormatting>
  <conditionalFormatting sqref="C13:D13 C16:D17">
    <cfRule type="cellIs" dxfId="43" priority="2801" stopIfTrue="1" operator="equal">
      <formula>"N/A"</formula>
    </cfRule>
    <cfRule type="cellIs" dxfId="42" priority="2802" stopIfTrue="1" operator="notEqual">
      <formula>""</formula>
    </cfRule>
  </conditionalFormatting>
  <conditionalFormatting sqref="J3:V3">
    <cfRule type="cellIs" dxfId="41" priority="2427" stopIfTrue="1" operator="equal">
      <formula>$F$21</formula>
    </cfRule>
    <cfRule type="cellIs" dxfId="40" priority="2428" stopIfTrue="1" operator="equal">
      <formula>$F$20</formula>
    </cfRule>
  </conditionalFormatting>
  <conditionalFormatting sqref="C134:D134 C144:D144">
    <cfRule type="cellIs" dxfId="39" priority="2" stopIfTrue="1" operator="equal">
      <formula>"N/A"</formula>
    </cfRule>
    <cfRule type="cellIs" dxfId="38" priority="3" stopIfTrue="1" operator="notEqual">
      <formula>""</formula>
    </cfRule>
  </conditionalFormatting>
  <conditionalFormatting sqref="F2">
    <cfRule type="cellIs" dxfId="37" priority="1" operator="greaterThan">
      <formula>0</formula>
    </cfRule>
  </conditionalFormatting>
  <dataValidations count="2">
    <dataValidation type="list" allowBlank="1" showInputMessage="1" showErrorMessage="1" sqref="F148:F154" xr:uid="{00000000-0002-0000-0700-000000000000}">
      <formula1>"0, 1, 2"</formula1>
    </dataValidation>
    <dataValidation type="list" allowBlank="1" showInputMessage="1" showErrorMessage="1" sqref="F144" xr:uid="{00000000-0002-0000-0700-000001000000}">
      <formula1>"1,2,3,4,5"</formula1>
    </dataValidation>
  </dataValidations>
  <printOptions headings="1"/>
  <pageMargins left="0.74803149606299213" right="0.74803149606299213" top="0.98425196850393704" bottom="0.98425196850393704" header="0.51181102362204722" footer="0.51181102362204722"/>
  <pageSetup paperSize="9" scale="38" fitToHeight="0" orientation="landscape" blackAndWhite="1" r:id="rId1"/>
  <headerFooter alignWithMargins="0">
    <oddHeader>&amp;CSheet:&amp;A</oddHeader>
    <oddFooter>&amp;L&amp;F ( Printed on &amp;D at &amp;T )&amp;RPage &amp;P of &amp;N</oddFooter>
  </headerFooter>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outlinePr summaryBelow="0" summaryRight="0"/>
  </sheetPr>
  <dimension ref="A1:V104"/>
  <sheetViews>
    <sheetView showGridLines="0" defaultGridColor="0" colorId="22" zoomScale="80" workbookViewId="0">
      <pane xSplit="9" ySplit="5" topLeftCell="J6" activePane="bottomRight" state="frozen"/>
      <selection pane="bottomRight" activeCell="A6" sqref="A6"/>
      <selection pane="bottomLeft" activeCell="F2" sqref="F2"/>
      <selection pane="topRight" activeCell="F2" sqref="F2"/>
    </sheetView>
  </sheetViews>
  <sheetFormatPr defaultColWidth="0" defaultRowHeight="12.75" outlineLevelRow="1"/>
  <cols>
    <col min="1"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c r="A1" s="26" t="e">
        <f ca="1" xml:space="preserve"> RIGHT(CELL("FILENAME", $A$1), LEN(CELL("FILENAME", $A$1)) - SEARCH("]", CELL("FILENAME", $A$1)))</f>
        <v>#VALUE!</v>
      </c>
      <c r="B1" s="26"/>
      <c r="C1" s="27"/>
      <c r="D1" s="1"/>
      <c r="E1" s="1"/>
      <c r="F1" s="139"/>
      <c r="G1" s="139"/>
      <c r="H1" s="139"/>
      <c r="I1" s="1"/>
      <c r="J1" s="88"/>
      <c r="K1" s="1"/>
      <c r="L1" s="1"/>
      <c r="M1" s="1"/>
      <c r="N1" s="1"/>
      <c r="O1" s="1"/>
      <c r="P1" s="1"/>
      <c r="Q1" s="1"/>
      <c r="R1" s="1"/>
      <c r="S1" s="1"/>
      <c r="T1" s="1"/>
      <c r="U1" s="1"/>
      <c r="V1" s="1"/>
    </row>
    <row r="2" spans="1:22">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c r="E5" s="3" t="str">
        <f xml:space="preserve"> Time!E$10</f>
        <v>Model column counter</v>
      </c>
      <c r="F5" s="29" t="s">
        <v>538</v>
      </c>
      <c r="G5" s="10" t="s">
        <v>105</v>
      </c>
      <c r="H5" s="29" t="s">
        <v>539</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 r="A7" s="39" t="s">
        <v>654</v>
      </c>
      <c r="B7" s="39"/>
      <c r="C7" s="40"/>
      <c r="D7" s="39"/>
      <c r="E7" s="39"/>
      <c r="F7" s="39"/>
      <c r="G7" s="39"/>
      <c r="H7" s="39"/>
      <c r="I7" s="39"/>
      <c r="J7" s="39"/>
      <c r="K7" s="39"/>
      <c r="L7" s="39"/>
      <c r="M7" s="39"/>
      <c r="N7" s="39"/>
      <c r="O7" s="39"/>
      <c r="P7" s="39"/>
      <c r="Q7" s="39"/>
      <c r="R7" s="39"/>
      <c r="S7" s="39"/>
      <c r="T7" s="39"/>
      <c r="U7" s="39"/>
      <c r="V7" s="39"/>
    </row>
    <row r="8" spans="1:22" outlineLevel="1">
      <c r="E8" s="3"/>
      <c r="F8" s="3"/>
      <c r="G8" s="3"/>
      <c r="H8" s="3"/>
      <c r="I8" s="3"/>
      <c r="J8" s="3"/>
      <c r="K8" s="3"/>
      <c r="L8" s="3"/>
      <c r="M8" s="3"/>
      <c r="N8" s="3"/>
      <c r="O8" s="3"/>
      <c r="P8" s="3"/>
      <c r="Q8" s="3"/>
      <c r="R8" s="3"/>
      <c r="S8" s="3"/>
      <c r="T8" s="3"/>
      <c r="U8" s="3"/>
      <c r="V8" s="3"/>
    </row>
    <row r="9" spans="1:22" outlineLevel="1">
      <c r="B9" s="10" t="s">
        <v>655</v>
      </c>
      <c r="E9" s="3"/>
      <c r="F9" s="3"/>
      <c r="G9" s="3"/>
      <c r="H9" s="3"/>
      <c r="I9" s="3"/>
      <c r="J9" s="3"/>
      <c r="K9" s="3"/>
      <c r="L9" s="3"/>
      <c r="M9" s="3"/>
      <c r="N9" s="3"/>
      <c r="O9" s="3"/>
      <c r="P9" s="3"/>
      <c r="Q9" s="3"/>
      <c r="R9" s="3"/>
      <c r="S9" s="3"/>
      <c r="T9" s="3"/>
      <c r="U9" s="3"/>
      <c r="V9" s="3"/>
    </row>
    <row r="10" spans="1:22" s="148" customFormat="1" outlineLevel="1">
      <c r="A10" s="160"/>
      <c r="B10" s="160"/>
      <c r="C10" s="161"/>
      <c r="D10" s="162"/>
      <c r="E10" s="188" t="s">
        <v>656</v>
      </c>
      <c r="F10" s="188"/>
      <c r="G10" s="188" t="s">
        <v>657</v>
      </c>
      <c r="H10" s="188"/>
      <c r="I10" s="189"/>
      <c r="J10" s="188">
        <f t="shared" ref="J10:P10" si="0" xml:space="preserve"> I10 + 1</f>
        <v>1</v>
      </c>
      <c r="K10" s="188">
        <f t="shared" si="0"/>
        <v>2</v>
      </c>
      <c r="L10" s="188">
        <f t="shared" si="0"/>
        <v>3</v>
      </c>
      <c r="M10" s="188">
        <f t="shared" si="0"/>
        <v>4</v>
      </c>
      <c r="N10" s="188">
        <f t="shared" si="0"/>
        <v>5</v>
      </c>
      <c r="O10" s="188">
        <f t="shared" si="0"/>
        <v>6</v>
      </c>
      <c r="P10" s="188">
        <f t="shared" si="0"/>
        <v>7</v>
      </c>
      <c r="Q10" s="188">
        <f t="shared" ref="Q10" si="1" xml:space="preserve"> P10 + 1</f>
        <v>8</v>
      </c>
      <c r="R10" s="188">
        <f t="shared" ref="R10" si="2" xml:space="preserve"> Q10 + 1</f>
        <v>9</v>
      </c>
      <c r="S10" s="188">
        <f t="shared" ref="S10" si="3" xml:space="preserve"> R10 + 1</f>
        <v>10</v>
      </c>
      <c r="T10" s="188">
        <f t="shared" ref="T10" si="4" xml:space="preserve"> S10 + 1</f>
        <v>11</v>
      </c>
      <c r="U10" s="188">
        <f t="shared" ref="U10" si="5" xml:space="preserve"> T10 + 1</f>
        <v>12</v>
      </c>
      <c r="V10" s="188">
        <f t="shared" ref="V10" si="6" xml:space="preserve"> U10 + 1</f>
        <v>13</v>
      </c>
    </row>
    <row r="11" spans="1:22" outlineLevel="1">
      <c r="E11" s="3" t="s">
        <v>658</v>
      </c>
      <c r="F11" s="18">
        <f xml:space="preserve"> MAX(J10:V10)</f>
        <v>13</v>
      </c>
      <c r="G11" s="3" t="s">
        <v>659</v>
      </c>
      <c r="H11" s="3"/>
      <c r="I11" s="3"/>
      <c r="J11" s="3"/>
      <c r="K11" s="3"/>
      <c r="L11" s="3"/>
      <c r="M11" s="3"/>
      <c r="N11" s="3"/>
      <c r="O11" s="3"/>
      <c r="P11" s="3"/>
      <c r="Q11" s="3"/>
      <c r="R11" s="3"/>
      <c r="S11" s="3"/>
      <c r="T11" s="3"/>
      <c r="U11" s="3"/>
      <c r="V11" s="3"/>
    </row>
    <row r="12" spans="1:22" outlineLevel="1">
      <c r="E12" s="3"/>
      <c r="F12" s="3"/>
      <c r="G12" s="3"/>
      <c r="H12" s="3"/>
      <c r="I12" s="3"/>
      <c r="J12" s="3"/>
      <c r="K12" s="3"/>
      <c r="L12" s="3"/>
      <c r="M12" s="3"/>
      <c r="N12" s="3"/>
      <c r="O12" s="3"/>
      <c r="P12" s="3"/>
      <c r="Q12" s="3"/>
      <c r="R12" s="3"/>
      <c r="S12" s="3"/>
      <c r="T12" s="3"/>
      <c r="U12" s="3"/>
      <c r="V12" s="3"/>
    </row>
    <row r="13" spans="1:22" outlineLevel="1">
      <c r="E13" s="19" t="str">
        <f t="shared" ref="E13:V13" si="7" xml:space="preserve"> E$10</f>
        <v>Model column counter</v>
      </c>
      <c r="F13" s="19">
        <f t="shared" si="7"/>
        <v>0</v>
      </c>
      <c r="G13" s="19" t="str">
        <f t="shared" si="7"/>
        <v>counter</v>
      </c>
      <c r="H13" s="19">
        <f t="shared" si="7"/>
        <v>0</v>
      </c>
      <c r="I13" s="19">
        <f t="shared" si="7"/>
        <v>0</v>
      </c>
      <c r="J13" s="19">
        <f t="shared" si="7"/>
        <v>1</v>
      </c>
      <c r="K13" s="19">
        <f t="shared" si="7"/>
        <v>2</v>
      </c>
      <c r="L13" s="19">
        <f t="shared" si="7"/>
        <v>3</v>
      </c>
      <c r="M13" s="19">
        <f t="shared" si="7"/>
        <v>4</v>
      </c>
      <c r="N13" s="19">
        <f t="shared" si="7"/>
        <v>5</v>
      </c>
      <c r="O13" s="19">
        <f t="shared" si="7"/>
        <v>6</v>
      </c>
      <c r="P13" s="19">
        <f t="shared" si="7"/>
        <v>7</v>
      </c>
      <c r="Q13" s="19">
        <f t="shared" si="7"/>
        <v>8</v>
      </c>
      <c r="R13" s="19">
        <f t="shared" si="7"/>
        <v>9</v>
      </c>
      <c r="S13" s="19">
        <f t="shared" si="7"/>
        <v>10</v>
      </c>
      <c r="T13" s="19">
        <f t="shared" si="7"/>
        <v>11</v>
      </c>
      <c r="U13" s="19">
        <f t="shared" si="7"/>
        <v>12</v>
      </c>
      <c r="V13" s="19">
        <f t="shared" si="7"/>
        <v>13</v>
      </c>
    </row>
    <row r="14" spans="1:22" outlineLevel="1">
      <c r="E14" s="3" t="s">
        <v>660</v>
      </c>
      <c r="F14" s="3"/>
      <c r="G14" s="3" t="s">
        <v>661</v>
      </c>
      <c r="H14" s="3">
        <f xml:space="preserve"> SUM(J14:V14)</f>
        <v>1</v>
      </c>
      <c r="I14" s="3"/>
      <c r="J14" s="3">
        <f t="shared" ref="J14:P14" si="8" xml:space="preserve"> IF(J13 = 1, 1, 0)</f>
        <v>1</v>
      </c>
      <c r="K14" s="3">
        <f t="shared" si="8"/>
        <v>0</v>
      </c>
      <c r="L14" s="3">
        <f t="shared" si="8"/>
        <v>0</v>
      </c>
      <c r="M14" s="3">
        <f t="shared" si="8"/>
        <v>0</v>
      </c>
      <c r="N14" s="3">
        <f t="shared" si="8"/>
        <v>0</v>
      </c>
      <c r="O14" s="3">
        <f t="shared" si="8"/>
        <v>0</v>
      </c>
      <c r="P14" s="3">
        <f t="shared" si="8"/>
        <v>0</v>
      </c>
      <c r="Q14" s="3">
        <f t="shared" ref="Q14:V14" si="9" xml:space="preserve"> IF(Q13 = 1, 1, 0)</f>
        <v>0</v>
      </c>
      <c r="R14" s="3">
        <f t="shared" si="9"/>
        <v>0</v>
      </c>
      <c r="S14" s="3">
        <f t="shared" si="9"/>
        <v>0</v>
      </c>
      <c r="T14" s="3">
        <f t="shared" si="9"/>
        <v>0</v>
      </c>
      <c r="U14" s="3">
        <f t="shared" si="9"/>
        <v>0</v>
      </c>
      <c r="V14" s="3">
        <f t="shared" si="9"/>
        <v>0</v>
      </c>
    </row>
    <row r="15" spans="1:22" outlineLevel="1">
      <c r="E15" s="3"/>
      <c r="F15" s="3"/>
      <c r="G15" s="3"/>
      <c r="H15" s="3"/>
      <c r="I15" s="3"/>
      <c r="J15" s="3"/>
      <c r="K15" s="3"/>
      <c r="L15" s="3"/>
      <c r="M15" s="3"/>
      <c r="N15" s="3"/>
      <c r="O15" s="3"/>
      <c r="P15" s="3"/>
      <c r="Q15" s="3"/>
      <c r="R15" s="3"/>
      <c r="S15" s="3"/>
      <c r="T15" s="3"/>
      <c r="U15" s="3"/>
      <c r="V15" s="3"/>
    </row>
    <row r="16" spans="1:22" outlineLevel="1">
      <c r="B16" s="10" t="s">
        <v>662</v>
      </c>
      <c r="E16" s="3"/>
      <c r="F16" s="3"/>
      <c r="G16" s="3"/>
      <c r="H16" s="3"/>
      <c r="I16" s="3"/>
      <c r="J16" s="3"/>
      <c r="K16" s="3"/>
      <c r="L16" s="3"/>
      <c r="M16" s="3"/>
      <c r="N16" s="3"/>
      <c r="O16" s="3"/>
      <c r="P16" s="3"/>
      <c r="Q16" s="3"/>
      <c r="R16" s="3"/>
      <c r="S16" s="3"/>
      <c r="T16" s="3"/>
      <c r="U16" s="3"/>
      <c r="V16" s="3"/>
    </row>
    <row r="17" spans="1:22" outlineLevel="1">
      <c r="E17" s="21" t="str">
        <f xml:space="preserve"> Inputs!E$13</f>
        <v>1st model column start date</v>
      </c>
      <c r="F17" s="21">
        <f xml:space="preserve"> Inputs!F$13</f>
        <v>41000</v>
      </c>
      <c r="G17" s="21" t="str">
        <f xml:space="preserve"> Inputs!G$13</f>
        <v>date</v>
      </c>
      <c r="H17" s="21"/>
      <c r="I17" s="21"/>
      <c r="J17" s="21"/>
      <c r="K17" s="21"/>
      <c r="L17" s="21"/>
      <c r="M17" s="21"/>
      <c r="N17" s="21"/>
      <c r="O17" s="21"/>
      <c r="P17" s="21"/>
      <c r="Q17" s="21"/>
      <c r="R17" s="21"/>
      <c r="S17" s="21"/>
      <c r="T17" s="21"/>
      <c r="U17" s="21"/>
      <c r="V17" s="21"/>
    </row>
    <row r="18" spans="1:22" outlineLevel="1">
      <c r="E18" s="12" t="str">
        <f xml:space="preserve"> Inputs!E$159</f>
        <v>Months per model period</v>
      </c>
      <c r="F18" s="12">
        <f xml:space="preserve"> Inputs!F$159</f>
        <v>12</v>
      </c>
      <c r="G18" s="12" t="str">
        <f xml:space="preserve"> Inputs!G$159</f>
        <v>months</v>
      </c>
      <c r="H18" s="12"/>
      <c r="I18" s="12"/>
      <c r="J18" s="12"/>
      <c r="K18" s="12"/>
      <c r="L18" s="12"/>
      <c r="M18" s="12"/>
      <c r="N18" s="12"/>
      <c r="O18" s="12"/>
      <c r="P18" s="12"/>
      <c r="Q18" s="12"/>
      <c r="R18" s="12"/>
      <c r="S18" s="12"/>
      <c r="T18" s="12"/>
      <c r="U18" s="12"/>
      <c r="V18" s="12"/>
    </row>
    <row r="19" spans="1:22" outlineLevel="1">
      <c r="E19" s="3" t="str">
        <f t="shared" ref="E19:V19" si="10" xml:space="preserve"> E$14</f>
        <v>1st model column flag</v>
      </c>
      <c r="F19" s="3">
        <f t="shared" si="10"/>
        <v>0</v>
      </c>
      <c r="G19" s="3" t="str">
        <f t="shared" si="10"/>
        <v>flag</v>
      </c>
      <c r="H19" s="3">
        <f t="shared" si="10"/>
        <v>1</v>
      </c>
      <c r="I19" s="3">
        <f t="shared" si="10"/>
        <v>0</v>
      </c>
      <c r="J19" s="3">
        <f t="shared" si="10"/>
        <v>1</v>
      </c>
      <c r="K19" s="3">
        <f t="shared" si="10"/>
        <v>0</v>
      </c>
      <c r="L19" s="3">
        <f t="shared" si="10"/>
        <v>0</v>
      </c>
      <c r="M19" s="3">
        <f t="shared" si="10"/>
        <v>0</v>
      </c>
      <c r="N19" s="3">
        <f t="shared" si="10"/>
        <v>0</v>
      </c>
      <c r="O19" s="3">
        <f t="shared" si="10"/>
        <v>0</v>
      </c>
      <c r="P19" s="3">
        <f t="shared" si="10"/>
        <v>0</v>
      </c>
      <c r="Q19" s="3">
        <f t="shared" si="10"/>
        <v>0</v>
      </c>
      <c r="R19" s="3">
        <f t="shared" si="10"/>
        <v>0</v>
      </c>
      <c r="S19" s="3">
        <f t="shared" si="10"/>
        <v>0</v>
      </c>
      <c r="T19" s="3">
        <f t="shared" si="10"/>
        <v>0</v>
      </c>
      <c r="U19" s="3">
        <f t="shared" si="10"/>
        <v>0</v>
      </c>
      <c r="V19" s="3">
        <f t="shared" si="10"/>
        <v>0</v>
      </c>
    </row>
    <row r="20" spans="1:22" outlineLevel="1">
      <c r="E20" s="3" t="s">
        <v>662</v>
      </c>
      <c r="F20" s="15"/>
      <c r="G20" s="11" t="s">
        <v>545</v>
      </c>
      <c r="H20" s="3"/>
      <c r="I20" s="129"/>
      <c r="J20" s="16">
        <f t="shared" ref="J20:P20" si="11" xml:space="preserve"> IF(J19 = 1, $F17, DATE(YEAR(I20), MONTH(I20) + $F18, DAY(1)))</f>
        <v>41000</v>
      </c>
      <c r="K20" s="16">
        <f t="shared" si="11"/>
        <v>41365</v>
      </c>
      <c r="L20" s="16">
        <f t="shared" si="11"/>
        <v>41730</v>
      </c>
      <c r="M20" s="16">
        <f t="shared" si="11"/>
        <v>42095</v>
      </c>
      <c r="N20" s="16">
        <f t="shared" si="11"/>
        <v>42461</v>
      </c>
      <c r="O20" s="16">
        <f t="shared" si="11"/>
        <v>42826</v>
      </c>
      <c r="P20" s="16">
        <f t="shared" si="11"/>
        <v>43191</v>
      </c>
      <c r="Q20" s="16">
        <f t="shared" ref="Q20" si="12" xml:space="preserve"> IF(Q19 = 1, $F17, DATE(YEAR(P20), MONTH(P20) + $F18, DAY(1)))</f>
        <v>43556</v>
      </c>
      <c r="R20" s="16">
        <f t="shared" ref="R20" si="13" xml:space="preserve"> IF(R19 = 1, $F17, DATE(YEAR(Q20), MONTH(Q20) + $F18, DAY(1)))</f>
        <v>43922</v>
      </c>
      <c r="S20" s="16">
        <f t="shared" ref="S20" si="14" xml:space="preserve"> IF(S19 = 1, $F17, DATE(YEAR(R20), MONTH(R20) + $F18, DAY(1)))</f>
        <v>44287</v>
      </c>
      <c r="T20" s="16">
        <f t="shared" ref="T20" si="15" xml:space="preserve"> IF(T19 = 1, $F17, DATE(YEAR(S20), MONTH(S20) + $F18, DAY(1)))</f>
        <v>44652</v>
      </c>
      <c r="U20" s="16">
        <f t="shared" ref="U20" si="16" xml:space="preserve"> IF(U19 = 1, $F17, DATE(YEAR(T20), MONTH(T20) + $F18, DAY(1)))</f>
        <v>45017</v>
      </c>
      <c r="V20" s="16">
        <f t="shared" ref="V20" si="17" xml:space="preserve"> IF(V19 = 1, $F17, DATE(YEAR(U20), MONTH(U20) + $F18, DAY(1)))</f>
        <v>45383</v>
      </c>
    </row>
    <row r="21" spans="1:22" outlineLevel="1">
      <c r="E21" s="3"/>
      <c r="F21" s="15"/>
      <c r="G21" s="11"/>
      <c r="H21" s="3"/>
      <c r="I21" s="16"/>
      <c r="J21" s="16"/>
      <c r="K21" s="16"/>
      <c r="L21" s="16"/>
      <c r="M21" s="16"/>
      <c r="N21" s="16"/>
      <c r="O21" s="16"/>
      <c r="P21" s="16"/>
      <c r="Q21" s="16"/>
      <c r="R21" s="16"/>
      <c r="S21" s="16"/>
      <c r="T21" s="16"/>
      <c r="U21" s="16"/>
      <c r="V21" s="16"/>
    </row>
    <row r="22" spans="1:22" outlineLevel="1">
      <c r="B22" s="10" t="s">
        <v>663</v>
      </c>
      <c r="E22" s="3"/>
      <c r="F22" s="15"/>
      <c r="G22" s="11"/>
      <c r="H22" s="3"/>
      <c r="I22" s="16"/>
      <c r="J22" s="16"/>
      <c r="K22" s="16"/>
      <c r="L22" s="16"/>
      <c r="M22" s="16"/>
      <c r="N22" s="16"/>
      <c r="O22" s="16"/>
      <c r="P22" s="16"/>
      <c r="Q22" s="16"/>
      <c r="R22" s="16"/>
      <c r="S22" s="16"/>
      <c r="T22" s="16"/>
      <c r="U22" s="16"/>
      <c r="V22" s="16"/>
    </row>
    <row r="23" spans="1:22" outlineLevel="1">
      <c r="E23" s="12" t="str">
        <f xml:space="preserve"> Inputs!E$159</f>
        <v>Months per model period</v>
      </c>
      <c r="F23" s="12">
        <f xml:space="preserve"> Inputs!F$159</f>
        <v>12</v>
      </c>
      <c r="G23" s="12" t="str">
        <f xml:space="preserve"> Inputs!G$159</f>
        <v>months</v>
      </c>
      <c r="H23" s="12"/>
      <c r="I23" s="12"/>
      <c r="J23" s="12"/>
      <c r="K23" s="12"/>
      <c r="L23" s="12"/>
      <c r="M23" s="12"/>
      <c r="N23" s="12"/>
      <c r="O23" s="12"/>
      <c r="P23" s="12"/>
      <c r="Q23" s="12"/>
      <c r="R23" s="12"/>
      <c r="S23" s="12"/>
      <c r="T23" s="12"/>
      <c r="U23" s="12"/>
      <c r="V23" s="12"/>
    </row>
    <row r="24" spans="1:22" outlineLevel="1">
      <c r="E24" s="16" t="str">
        <f t="shared" ref="E24:V24" si="18" xml:space="preserve"> E$20</f>
        <v>Model period beginning</v>
      </c>
      <c r="F24" s="6">
        <f t="shared" si="18"/>
        <v>0</v>
      </c>
      <c r="G24" s="16" t="str">
        <f t="shared" si="18"/>
        <v>date</v>
      </c>
      <c r="H24" s="16">
        <f t="shared" si="18"/>
        <v>0</v>
      </c>
      <c r="I24" s="16">
        <f t="shared" si="18"/>
        <v>0</v>
      </c>
      <c r="J24" s="16">
        <f t="shared" si="18"/>
        <v>41000</v>
      </c>
      <c r="K24" s="16">
        <f t="shared" si="18"/>
        <v>41365</v>
      </c>
      <c r="L24" s="16">
        <f t="shared" si="18"/>
        <v>41730</v>
      </c>
      <c r="M24" s="16">
        <f t="shared" si="18"/>
        <v>42095</v>
      </c>
      <c r="N24" s="16">
        <f t="shared" si="18"/>
        <v>42461</v>
      </c>
      <c r="O24" s="16">
        <f t="shared" si="18"/>
        <v>42826</v>
      </c>
      <c r="P24" s="16">
        <f t="shared" si="18"/>
        <v>43191</v>
      </c>
      <c r="Q24" s="16">
        <f t="shared" si="18"/>
        <v>43556</v>
      </c>
      <c r="R24" s="16">
        <f t="shared" si="18"/>
        <v>43922</v>
      </c>
      <c r="S24" s="16">
        <f t="shared" si="18"/>
        <v>44287</v>
      </c>
      <c r="T24" s="16">
        <f t="shared" si="18"/>
        <v>44652</v>
      </c>
      <c r="U24" s="16">
        <f t="shared" si="18"/>
        <v>45017</v>
      </c>
      <c r="V24" s="16">
        <f t="shared" si="18"/>
        <v>45383</v>
      </c>
    </row>
    <row r="25" spans="1:22" s="196" customFormat="1" outlineLevel="1">
      <c r="A25" s="194"/>
      <c r="B25" s="194"/>
      <c r="C25" s="195"/>
      <c r="E25" s="207" t="s">
        <v>663</v>
      </c>
      <c r="F25" s="208"/>
      <c r="G25" s="207" t="s">
        <v>545</v>
      </c>
      <c r="H25" s="207"/>
      <c r="I25" s="207"/>
      <c r="J25" s="207">
        <f t="shared" ref="J25:P25" si="19" xml:space="preserve"> DATE(YEAR(J24), MONTH(J24) + $F23, DAY(J24) - 1)</f>
        <v>41364</v>
      </c>
      <c r="K25" s="207">
        <f t="shared" si="19"/>
        <v>41729</v>
      </c>
      <c r="L25" s="207">
        <f t="shared" si="19"/>
        <v>42094</v>
      </c>
      <c r="M25" s="207">
        <f t="shared" si="19"/>
        <v>42460</v>
      </c>
      <c r="N25" s="207">
        <f t="shared" si="19"/>
        <v>42825</v>
      </c>
      <c r="O25" s="207">
        <f t="shared" si="19"/>
        <v>43190</v>
      </c>
      <c r="P25" s="207">
        <f t="shared" si="19"/>
        <v>43555</v>
      </c>
      <c r="Q25" s="207">
        <f t="shared" ref="Q25:V25" si="20" xml:space="preserve"> DATE(YEAR(Q24), MONTH(Q24) + $F23, DAY(Q24) - 1)</f>
        <v>43921</v>
      </c>
      <c r="R25" s="207">
        <f t="shared" si="20"/>
        <v>44286</v>
      </c>
      <c r="S25" s="207">
        <f t="shared" si="20"/>
        <v>44651</v>
      </c>
      <c r="T25" s="207">
        <f t="shared" si="20"/>
        <v>45016</v>
      </c>
      <c r="U25" s="207">
        <f t="shared" si="20"/>
        <v>45382</v>
      </c>
      <c r="V25" s="207">
        <f t="shared" si="20"/>
        <v>45747</v>
      </c>
    </row>
    <row r="26" spans="1:22" outlineLevel="1">
      <c r="E26" s="3"/>
      <c r="F26" s="3"/>
      <c r="G26" s="3"/>
      <c r="H26" s="3"/>
      <c r="I26" s="3"/>
      <c r="J26" s="3"/>
      <c r="K26" s="3"/>
      <c r="L26" s="3"/>
      <c r="M26" s="3"/>
      <c r="N26" s="3"/>
      <c r="O26" s="3"/>
      <c r="P26" s="3"/>
      <c r="Q26" s="3"/>
      <c r="R26" s="3"/>
      <c r="S26" s="3"/>
      <c r="T26" s="3"/>
      <c r="U26" s="3"/>
      <c r="V26" s="3"/>
    </row>
    <row r="27" spans="1:22">
      <c r="E27" s="3"/>
      <c r="F27" s="3"/>
      <c r="G27" s="3"/>
      <c r="H27" s="3"/>
      <c r="I27" s="3"/>
      <c r="J27" s="3"/>
      <c r="K27" s="3"/>
      <c r="L27" s="3"/>
      <c r="M27" s="3"/>
      <c r="N27" s="3"/>
      <c r="O27" s="3"/>
      <c r="P27" s="3"/>
      <c r="Q27" s="3"/>
      <c r="R27" s="3"/>
      <c r="S27" s="3"/>
      <c r="T27" s="3"/>
      <c r="U27" s="3"/>
      <c r="V27" s="3"/>
    </row>
    <row r="28" spans="1:22" ht="12.75" customHeight="1">
      <c r="A28" s="39" t="s">
        <v>664</v>
      </c>
      <c r="B28" s="39"/>
      <c r="C28" s="40"/>
      <c r="D28" s="39"/>
      <c r="E28" s="39"/>
      <c r="F28" s="39"/>
      <c r="G28" s="39"/>
      <c r="H28" s="39"/>
      <c r="I28" s="39"/>
      <c r="J28" s="39"/>
      <c r="K28" s="39"/>
      <c r="L28" s="39"/>
      <c r="M28" s="39"/>
      <c r="N28" s="39"/>
      <c r="O28" s="39"/>
      <c r="P28" s="39"/>
      <c r="Q28" s="39"/>
      <c r="R28" s="39"/>
      <c r="S28" s="39"/>
      <c r="T28" s="39"/>
      <c r="U28" s="39"/>
      <c r="V28" s="39"/>
    </row>
    <row r="29" spans="1:22" outlineLevel="1">
      <c r="E29" s="3"/>
      <c r="F29" s="3"/>
      <c r="G29" s="3"/>
      <c r="H29" s="3"/>
      <c r="I29" s="3"/>
      <c r="J29" s="3"/>
      <c r="K29" s="3"/>
      <c r="L29" s="3"/>
      <c r="M29" s="3"/>
      <c r="N29" s="3"/>
      <c r="O29" s="3"/>
      <c r="P29" s="3"/>
      <c r="Q29" s="3"/>
      <c r="R29" s="3"/>
      <c r="S29" s="3"/>
      <c r="T29" s="3"/>
      <c r="U29" s="3"/>
      <c r="V29" s="3"/>
    </row>
    <row r="30" spans="1:22" outlineLevel="1">
      <c r="B30" s="10" t="s">
        <v>665</v>
      </c>
      <c r="E30" s="3"/>
      <c r="F30" s="3"/>
      <c r="G30" s="3"/>
      <c r="H30" s="3"/>
      <c r="I30" s="3"/>
      <c r="J30" s="3"/>
      <c r="K30" s="3"/>
      <c r="L30" s="3"/>
      <c r="M30" s="3"/>
      <c r="N30" s="3"/>
      <c r="O30" s="3"/>
      <c r="P30" s="3"/>
      <c r="Q30" s="3"/>
      <c r="R30" s="3"/>
      <c r="S30" s="3"/>
      <c r="T30" s="3"/>
      <c r="U30" s="3"/>
      <c r="V30" s="3"/>
    </row>
    <row r="31" spans="1:22" outlineLevel="1">
      <c r="E31" s="30" t="str">
        <f xml:space="preserve"> Inputs!E$26</f>
        <v>Forecast start date</v>
      </c>
      <c r="F31" s="30">
        <f xml:space="preserve"> Inputs!F$26</f>
        <v>43922</v>
      </c>
      <c r="G31" s="30" t="str">
        <f xml:space="preserve"> Inputs!G$26</f>
        <v>date</v>
      </c>
      <c r="H31" s="30"/>
      <c r="I31" s="30"/>
      <c r="J31" s="30"/>
      <c r="K31" s="30"/>
      <c r="L31" s="30"/>
      <c r="M31" s="30"/>
      <c r="N31" s="30"/>
      <c r="O31" s="30"/>
      <c r="P31" s="30"/>
      <c r="Q31" s="30"/>
      <c r="R31" s="30"/>
      <c r="S31" s="30"/>
      <c r="T31" s="30"/>
      <c r="U31" s="30"/>
      <c r="V31" s="30"/>
    </row>
    <row r="32" spans="1:22" outlineLevel="1">
      <c r="E32" s="16" t="str">
        <f t="shared" ref="E32:V32" si="21" xml:space="preserve"> E$20</f>
        <v>Model period beginning</v>
      </c>
      <c r="F32" s="16">
        <f t="shared" si="21"/>
        <v>0</v>
      </c>
      <c r="G32" s="16" t="str">
        <f t="shared" si="21"/>
        <v>date</v>
      </c>
      <c r="H32" s="16">
        <f t="shared" si="21"/>
        <v>0</v>
      </c>
      <c r="I32" s="16">
        <f t="shared" si="21"/>
        <v>0</v>
      </c>
      <c r="J32" s="16">
        <f t="shared" si="21"/>
        <v>41000</v>
      </c>
      <c r="K32" s="16">
        <f t="shared" si="21"/>
        <v>41365</v>
      </c>
      <c r="L32" s="16">
        <f t="shared" si="21"/>
        <v>41730</v>
      </c>
      <c r="M32" s="16">
        <f t="shared" si="21"/>
        <v>42095</v>
      </c>
      <c r="N32" s="16">
        <f t="shared" si="21"/>
        <v>42461</v>
      </c>
      <c r="O32" s="16">
        <f t="shared" si="21"/>
        <v>42826</v>
      </c>
      <c r="P32" s="16">
        <f t="shared" si="21"/>
        <v>43191</v>
      </c>
      <c r="Q32" s="16">
        <f t="shared" si="21"/>
        <v>43556</v>
      </c>
      <c r="R32" s="16">
        <f t="shared" si="21"/>
        <v>43922</v>
      </c>
      <c r="S32" s="16">
        <f t="shared" si="21"/>
        <v>44287</v>
      </c>
      <c r="T32" s="16">
        <f t="shared" si="21"/>
        <v>44652</v>
      </c>
      <c r="U32" s="16">
        <f t="shared" si="21"/>
        <v>45017</v>
      </c>
      <c r="V32" s="16">
        <f t="shared" si="21"/>
        <v>45383</v>
      </c>
    </row>
    <row r="33" spans="1:22" outlineLevel="1">
      <c r="E33" s="16" t="str">
        <f t="shared" ref="E33:V33" si="22" xml:space="preserve"> E$25</f>
        <v>Model period ending</v>
      </c>
      <c r="F33" s="16">
        <f t="shared" si="22"/>
        <v>0</v>
      </c>
      <c r="G33" s="16" t="str">
        <f t="shared" si="22"/>
        <v>date</v>
      </c>
      <c r="H33" s="16">
        <f t="shared" si="22"/>
        <v>0</v>
      </c>
      <c r="I33" s="16">
        <f t="shared" si="22"/>
        <v>0</v>
      </c>
      <c r="J33" s="16">
        <f t="shared" si="22"/>
        <v>41364</v>
      </c>
      <c r="K33" s="16">
        <f t="shared" si="22"/>
        <v>41729</v>
      </c>
      <c r="L33" s="16">
        <f t="shared" si="22"/>
        <v>42094</v>
      </c>
      <c r="M33" s="16">
        <f t="shared" si="22"/>
        <v>42460</v>
      </c>
      <c r="N33" s="16">
        <f t="shared" si="22"/>
        <v>42825</v>
      </c>
      <c r="O33" s="16">
        <f t="shared" si="22"/>
        <v>43190</v>
      </c>
      <c r="P33" s="16">
        <f t="shared" si="22"/>
        <v>43555</v>
      </c>
      <c r="Q33" s="16">
        <f t="shared" si="22"/>
        <v>43921</v>
      </c>
      <c r="R33" s="16">
        <f t="shared" si="22"/>
        <v>44286</v>
      </c>
      <c r="S33" s="16">
        <f t="shared" si="22"/>
        <v>44651</v>
      </c>
      <c r="T33" s="16">
        <f t="shared" si="22"/>
        <v>45016</v>
      </c>
      <c r="U33" s="16">
        <f t="shared" si="22"/>
        <v>45382</v>
      </c>
      <c r="V33" s="16">
        <f t="shared" si="22"/>
        <v>45747</v>
      </c>
    </row>
    <row r="34" spans="1:22" s="148" customFormat="1" outlineLevel="1">
      <c r="A34" s="160"/>
      <c r="B34" s="160"/>
      <c r="C34" s="161"/>
      <c r="D34" s="162"/>
      <c r="E34" s="162" t="s">
        <v>665</v>
      </c>
      <c r="F34" s="162"/>
      <c r="G34" s="162" t="s">
        <v>661</v>
      </c>
      <c r="H34" s="162">
        <f xml:space="preserve"> SUM(J34:V34)</f>
        <v>1</v>
      </c>
      <c r="I34" s="162"/>
      <c r="J34" s="162">
        <f xml:space="preserve"> IF(AND($F31 &gt;= J32, $F31 &lt;= J33), 1, 0)</f>
        <v>0</v>
      </c>
      <c r="K34" s="162">
        <f t="shared" ref="K34:P34" si="23" xml:space="preserve"> IF(AND($F31 &gt;= K32, $F31 &lt;= K33), 1, 0)</f>
        <v>0</v>
      </c>
      <c r="L34" s="162">
        <f t="shared" si="23"/>
        <v>0</v>
      </c>
      <c r="M34" s="162">
        <f t="shared" si="23"/>
        <v>0</v>
      </c>
      <c r="N34" s="162">
        <f t="shared" si="23"/>
        <v>0</v>
      </c>
      <c r="O34" s="162">
        <f t="shared" si="23"/>
        <v>0</v>
      </c>
      <c r="P34" s="162">
        <f t="shared" si="23"/>
        <v>0</v>
      </c>
      <c r="Q34" s="162">
        <f t="shared" ref="Q34:V34" si="24" xml:space="preserve"> IF(AND($F31 &gt;= Q32, $F31 &lt;= Q33), 1, 0)</f>
        <v>0</v>
      </c>
      <c r="R34" s="162">
        <f t="shared" si="24"/>
        <v>1</v>
      </c>
      <c r="S34" s="162">
        <f t="shared" si="24"/>
        <v>0</v>
      </c>
      <c r="T34" s="162">
        <f t="shared" si="24"/>
        <v>0</v>
      </c>
      <c r="U34" s="162">
        <f t="shared" si="24"/>
        <v>0</v>
      </c>
      <c r="V34" s="162">
        <f t="shared" si="24"/>
        <v>0</v>
      </c>
    </row>
    <row r="35" spans="1:22" outlineLevel="1">
      <c r="E35" s="3"/>
      <c r="F35" s="3"/>
      <c r="G35" s="3"/>
      <c r="H35" s="3"/>
      <c r="I35" s="3"/>
      <c r="J35" s="3"/>
      <c r="K35" s="3"/>
      <c r="L35" s="3"/>
      <c r="M35" s="3"/>
      <c r="N35" s="3"/>
      <c r="O35" s="3"/>
      <c r="P35" s="3"/>
      <c r="Q35" s="3"/>
      <c r="R35" s="3"/>
      <c r="S35" s="3"/>
      <c r="T35" s="3"/>
      <c r="U35" s="3"/>
      <c r="V35" s="3"/>
    </row>
    <row r="36" spans="1:22" outlineLevel="1">
      <c r="B36" s="10" t="s">
        <v>666</v>
      </c>
      <c r="E36" s="3"/>
      <c r="F36" s="3"/>
      <c r="G36" s="3"/>
      <c r="H36" s="3"/>
      <c r="I36" s="3"/>
      <c r="J36" s="3"/>
      <c r="K36" s="3"/>
      <c r="L36" s="3"/>
      <c r="M36" s="3"/>
      <c r="N36" s="3"/>
      <c r="O36" s="3"/>
      <c r="P36" s="3"/>
      <c r="Q36" s="3"/>
      <c r="R36" s="3"/>
      <c r="S36" s="3"/>
      <c r="T36" s="3"/>
      <c r="U36" s="3"/>
      <c r="V36" s="3"/>
    </row>
    <row r="37" spans="1:22" outlineLevel="1">
      <c r="E37" s="30" t="str">
        <f xml:space="preserve"> Inputs!E$26</f>
        <v>Forecast start date</v>
      </c>
      <c r="F37" s="30">
        <f xml:space="preserve"> Inputs!F$26</f>
        <v>43922</v>
      </c>
      <c r="G37" s="30" t="str">
        <f xml:space="preserve"> Inputs!G$26</f>
        <v>date</v>
      </c>
      <c r="H37" s="30"/>
      <c r="I37" s="30"/>
      <c r="J37" s="30"/>
      <c r="K37" s="30"/>
      <c r="L37" s="30"/>
      <c r="M37" s="30"/>
      <c r="N37" s="30"/>
      <c r="O37" s="30"/>
      <c r="P37" s="30"/>
      <c r="Q37" s="30"/>
      <c r="R37" s="30"/>
      <c r="S37" s="30"/>
      <c r="T37" s="30"/>
      <c r="U37" s="30"/>
      <c r="V37" s="30"/>
    </row>
    <row r="38" spans="1:22" outlineLevel="1">
      <c r="E38" s="25" t="str">
        <f xml:space="preserve"> Inputs!E$27</f>
        <v>Forecast duration</v>
      </c>
      <c r="F38" s="25">
        <f xml:space="preserve"> Inputs!F$27</f>
        <v>5</v>
      </c>
      <c r="G38" s="25" t="str">
        <f xml:space="preserve"> Inputs!G$27</f>
        <v>years</v>
      </c>
      <c r="H38" s="25"/>
      <c r="I38" s="25"/>
      <c r="J38" s="25"/>
      <c r="K38" s="25"/>
      <c r="L38" s="25"/>
      <c r="M38" s="25"/>
      <c r="N38" s="25"/>
      <c r="O38" s="25"/>
      <c r="P38" s="25"/>
      <c r="Q38" s="25"/>
      <c r="R38" s="25"/>
      <c r="S38" s="25"/>
      <c r="T38" s="25"/>
      <c r="U38" s="25"/>
      <c r="V38" s="25"/>
    </row>
    <row r="39" spans="1:22" outlineLevel="1">
      <c r="E39" s="20" t="s">
        <v>667</v>
      </c>
      <c r="F39" s="20">
        <f xml:space="preserve"> DATE(YEAR(F37) + F38, MONTH(F37), DAY(F37) - 1)</f>
        <v>45747</v>
      </c>
      <c r="G39" s="20" t="s">
        <v>545</v>
      </c>
      <c r="H39" s="20"/>
      <c r="I39" s="20"/>
      <c r="J39" s="20"/>
      <c r="K39" s="20"/>
      <c r="L39" s="20"/>
      <c r="M39" s="20"/>
      <c r="N39" s="20"/>
      <c r="O39" s="20"/>
      <c r="P39" s="20"/>
      <c r="Q39" s="20"/>
      <c r="R39" s="20"/>
      <c r="S39" s="20"/>
      <c r="T39" s="20"/>
      <c r="U39" s="20"/>
      <c r="V39" s="20"/>
    </row>
    <row r="40" spans="1:22" outlineLevel="1">
      <c r="E40" s="3"/>
      <c r="F40" s="3"/>
      <c r="G40" s="3"/>
      <c r="H40" s="3"/>
      <c r="I40" s="3"/>
      <c r="J40" s="3"/>
      <c r="K40" s="3"/>
      <c r="L40" s="3"/>
      <c r="M40" s="3"/>
      <c r="N40" s="3"/>
      <c r="O40" s="3"/>
      <c r="P40" s="3"/>
      <c r="Q40" s="3"/>
      <c r="R40" s="3"/>
      <c r="S40" s="3"/>
      <c r="T40" s="3"/>
      <c r="U40" s="3"/>
      <c r="V40" s="3"/>
    </row>
    <row r="41" spans="1:22" outlineLevel="1">
      <c r="E41" s="34" t="str">
        <f xml:space="preserve"> E$39</f>
        <v>Forecast end date</v>
      </c>
      <c r="F41" s="34">
        <f xml:space="preserve"> F$39</f>
        <v>45747</v>
      </c>
      <c r="G41" s="34" t="str">
        <f xml:space="preserve"> G$39</f>
        <v>date</v>
      </c>
      <c r="H41" s="34"/>
      <c r="I41" s="34"/>
      <c r="J41" s="34"/>
      <c r="K41" s="34"/>
      <c r="L41" s="34"/>
      <c r="M41" s="34"/>
      <c r="N41" s="34"/>
      <c r="O41" s="34"/>
      <c r="P41" s="34"/>
      <c r="Q41" s="34"/>
      <c r="R41" s="34"/>
      <c r="S41" s="34"/>
      <c r="T41" s="34"/>
      <c r="U41" s="34"/>
      <c r="V41" s="34"/>
    </row>
    <row r="42" spans="1:22" outlineLevel="1">
      <c r="E42" s="16" t="str">
        <f t="shared" ref="E42:V42" si="25" xml:space="preserve"> E$20</f>
        <v>Model period beginning</v>
      </c>
      <c r="F42" s="16">
        <f t="shared" si="25"/>
        <v>0</v>
      </c>
      <c r="G42" s="16" t="str">
        <f t="shared" si="25"/>
        <v>date</v>
      </c>
      <c r="H42" s="16">
        <f t="shared" si="25"/>
        <v>0</v>
      </c>
      <c r="I42" s="16">
        <f t="shared" si="25"/>
        <v>0</v>
      </c>
      <c r="J42" s="16">
        <f t="shared" si="25"/>
        <v>41000</v>
      </c>
      <c r="K42" s="16">
        <f t="shared" si="25"/>
        <v>41365</v>
      </c>
      <c r="L42" s="16">
        <f t="shared" si="25"/>
        <v>41730</v>
      </c>
      <c r="M42" s="16">
        <f t="shared" si="25"/>
        <v>42095</v>
      </c>
      <c r="N42" s="16">
        <f t="shared" si="25"/>
        <v>42461</v>
      </c>
      <c r="O42" s="16">
        <f t="shared" si="25"/>
        <v>42826</v>
      </c>
      <c r="P42" s="16">
        <f t="shared" si="25"/>
        <v>43191</v>
      </c>
      <c r="Q42" s="16">
        <f t="shared" si="25"/>
        <v>43556</v>
      </c>
      <c r="R42" s="16">
        <f t="shared" si="25"/>
        <v>43922</v>
      </c>
      <c r="S42" s="16">
        <f t="shared" si="25"/>
        <v>44287</v>
      </c>
      <c r="T42" s="16">
        <f t="shared" si="25"/>
        <v>44652</v>
      </c>
      <c r="U42" s="16">
        <f t="shared" si="25"/>
        <v>45017</v>
      </c>
      <c r="V42" s="16">
        <f t="shared" si="25"/>
        <v>45383</v>
      </c>
    </row>
    <row r="43" spans="1:22" outlineLevel="1">
      <c r="E43" s="16" t="str">
        <f t="shared" ref="E43:V43" si="26" xml:space="preserve"> E$25</f>
        <v>Model period ending</v>
      </c>
      <c r="F43" s="16">
        <f t="shared" si="26"/>
        <v>0</v>
      </c>
      <c r="G43" s="16" t="str">
        <f t="shared" si="26"/>
        <v>date</v>
      </c>
      <c r="H43" s="16">
        <f t="shared" si="26"/>
        <v>0</v>
      </c>
      <c r="I43" s="16">
        <f t="shared" si="26"/>
        <v>0</v>
      </c>
      <c r="J43" s="16">
        <f t="shared" si="26"/>
        <v>41364</v>
      </c>
      <c r="K43" s="16">
        <f t="shared" si="26"/>
        <v>41729</v>
      </c>
      <c r="L43" s="16">
        <f t="shared" si="26"/>
        <v>42094</v>
      </c>
      <c r="M43" s="16">
        <f t="shared" si="26"/>
        <v>42460</v>
      </c>
      <c r="N43" s="16">
        <f t="shared" si="26"/>
        <v>42825</v>
      </c>
      <c r="O43" s="16">
        <f t="shared" si="26"/>
        <v>43190</v>
      </c>
      <c r="P43" s="16">
        <f t="shared" si="26"/>
        <v>43555</v>
      </c>
      <c r="Q43" s="16">
        <f t="shared" si="26"/>
        <v>43921</v>
      </c>
      <c r="R43" s="16">
        <f t="shared" si="26"/>
        <v>44286</v>
      </c>
      <c r="S43" s="16">
        <f t="shared" si="26"/>
        <v>44651</v>
      </c>
      <c r="T43" s="16">
        <f t="shared" si="26"/>
        <v>45016</v>
      </c>
      <c r="U43" s="16">
        <f t="shared" si="26"/>
        <v>45382</v>
      </c>
      <c r="V43" s="16">
        <f t="shared" si="26"/>
        <v>45747</v>
      </c>
    </row>
    <row r="44" spans="1:22" s="148" customFormat="1" outlineLevel="1">
      <c r="A44" s="160"/>
      <c r="B44" s="160"/>
      <c r="C44" s="161"/>
      <c r="D44" s="162"/>
      <c r="E44" s="162" t="s">
        <v>666</v>
      </c>
      <c r="F44" s="162"/>
      <c r="G44" s="162" t="s">
        <v>661</v>
      </c>
      <c r="H44" s="162">
        <f xml:space="preserve"> SUM(J44:V44)</f>
        <v>1</v>
      </c>
      <c r="I44" s="162"/>
      <c r="J44" s="162">
        <f t="shared" ref="J44:P44" si="27" xml:space="preserve"> IF(AND($F41 &gt;= J42, $F41 &lt;= J43), 1, 0)</f>
        <v>0</v>
      </c>
      <c r="K44" s="162">
        <f t="shared" si="27"/>
        <v>0</v>
      </c>
      <c r="L44" s="162">
        <f t="shared" si="27"/>
        <v>0</v>
      </c>
      <c r="M44" s="162">
        <f t="shared" si="27"/>
        <v>0</v>
      </c>
      <c r="N44" s="162">
        <f t="shared" si="27"/>
        <v>0</v>
      </c>
      <c r="O44" s="162">
        <f t="shared" si="27"/>
        <v>0</v>
      </c>
      <c r="P44" s="162">
        <f t="shared" si="27"/>
        <v>0</v>
      </c>
      <c r="Q44" s="162">
        <f t="shared" ref="Q44:V44" si="28" xml:space="preserve"> IF(AND($F41 &gt;= Q42, $F41 &lt;= Q43), 1, 0)</f>
        <v>0</v>
      </c>
      <c r="R44" s="162">
        <f t="shared" si="28"/>
        <v>0</v>
      </c>
      <c r="S44" s="162">
        <f t="shared" si="28"/>
        <v>0</v>
      </c>
      <c r="T44" s="162">
        <f t="shared" si="28"/>
        <v>0</v>
      </c>
      <c r="U44" s="162">
        <f t="shared" si="28"/>
        <v>0</v>
      </c>
      <c r="V44" s="162">
        <f t="shared" si="28"/>
        <v>1</v>
      </c>
    </row>
    <row r="45" spans="1:22" outlineLevel="1">
      <c r="E45" s="3"/>
      <c r="F45" s="3"/>
      <c r="G45" s="3"/>
      <c r="H45" s="3"/>
      <c r="I45" s="3"/>
      <c r="J45" s="3"/>
      <c r="K45" s="3"/>
      <c r="L45" s="3"/>
      <c r="M45" s="3"/>
      <c r="N45" s="3"/>
      <c r="O45" s="3"/>
      <c r="P45" s="3"/>
      <c r="Q45" s="3"/>
      <c r="R45" s="3"/>
      <c r="S45" s="3"/>
      <c r="T45" s="3"/>
      <c r="U45" s="3"/>
      <c r="V45" s="3"/>
    </row>
    <row r="46" spans="1:22" outlineLevel="1">
      <c r="B46" s="10" t="s">
        <v>668</v>
      </c>
      <c r="E46" s="3"/>
      <c r="F46" s="3"/>
      <c r="G46" s="3"/>
      <c r="H46" s="3"/>
      <c r="I46" s="3"/>
      <c r="J46" s="3"/>
      <c r="K46" s="3"/>
      <c r="L46" s="3"/>
      <c r="M46" s="3"/>
      <c r="N46" s="3"/>
      <c r="O46" s="3"/>
      <c r="P46" s="3"/>
      <c r="Q46" s="3"/>
      <c r="R46" s="3"/>
      <c r="S46" s="3"/>
      <c r="T46" s="3"/>
      <c r="U46" s="3"/>
      <c r="V46" s="3"/>
    </row>
    <row r="47" spans="1:22" outlineLevel="1">
      <c r="E47" s="3" t="str">
        <f xml:space="preserve"> E$34</f>
        <v>Forecast start period flag</v>
      </c>
      <c r="F47" s="3">
        <f t="shared" ref="F47:V47" si="29" xml:space="preserve"> F$34</f>
        <v>0</v>
      </c>
      <c r="G47" s="3" t="str">
        <f t="shared" si="29"/>
        <v>flag</v>
      </c>
      <c r="H47" s="3">
        <f t="shared" si="29"/>
        <v>1</v>
      </c>
      <c r="I47" s="3">
        <f t="shared" si="29"/>
        <v>0</v>
      </c>
      <c r="J47" s="3">
        <f t="shared" si="29"/>
        <v>0</v>
      </c>
      <c r="K47" s="3">
        <f t="shared" si="29"/>
        <v>0</v>
      </c>
      <c r="L47" s="3">
        <f t="shared" si="29"/>
        <v>0</v>
      </c>
      <c r="M47" s="3">
        <f t="shared" si="29"/>
        <v>0</v>
      </c>
      <c r="N47" s="3">
        <f t="shared" si="29"/>
        <v>0</v>
      </c>
      <c r="O47" s="3">
        <f t="shared" si="29"/>
        <v>0</v>
      </c>
      <c r="P47" s="3">
        <f t="shared" si="29"/>
        <v>0</v>
      </c>
      <c r="Q47" s="3">
        <f t="shared" si="29"/>
        <v>0</v>
      </c>
      <c r="R47" s="3">
        <f t="shared" si="29"/>
        <v>1</v>
      </c>
      <c r="S47" s="3">
        <f t="shared" si="29"/>
        <v>0</v>
      </c>
      <c r="T47" s="3">
        <f t="shared" si="29"/>
        <v>0</v>
      </c>
      <c r="U47" s="3">
        <f t="shared" si="29"/>
        <v>0</v>
      </c>
      <c r="V47" s="3">
        <f t="shared" si="29"/>
        <v>0</v>
      </c>
    </row>
    <row r="48" spans="1:22" outlineLevel="1">
      <c r="E48" s="3" t="str">
        <f xml:space="preserve"> E$44</f>
        <v>Forecast end period flag</v>
      </c>
      <c r="F48" s="3">
        <f t="shared" ref="F48:V48" si="30" xml:space="preserve"> F$44</f>
        <v>0</v>
      </c>
      <c r="G48" s="3" t="str">
        <f t="shared" si="30"/>
        <v>flag</v>
      </c>
      <c r="H48" s="3">
        <f t="shared" si="30"/>
        <v>1</v>
      </c>
      <c r="I48" s="3">
        <f t="shared" si="30"/>
        <v>0</v>
      </c>
      <c r="J48" s="3">
        <f t="shared" si="30"/>
        <v>0</v>
      </c>
      <c r="K48" s="3">
        <f t="shared" si="30"/>
        <v>0</v>
      </c>
      <c r="L48" s="3">
        <f t="shared" si="30"/>
        <v>0</v>
      </c>
      <c r="M48" s="3">
        <f t="shared" si="30"/>
        <v>0</v>
      </c>
      <c r="N48" s="3">
        <f t="shared" si="30"/>
        <v>0</v>
      </c>
      <c r="O48" s="3">
        <f t="shared" si="30"/>
        <v>0</v>
      </c>
      <c r="P48" s="3">
        <f t="shared" si="30"/>
        <v>0</v>
      </c>
      <c r="Q48" s="3">
        <f t="shared" si="30"/>
        <v>0</v>
      </c>
      <c r="R48" s="3">
        <f t="shared" si="30"/>
        <v>0</v>
      </c>
      <c r="S48" s="3">
        <f t="shared" si="30"/>
        <v>0</v>
      </c>
      <c r="T48" s="3">
        <f t="shared" si="30"/>
        <v>0</v>
      </c>
      <c r="U48" s="3">
        <f t="shared" si="30"/>
        <v>0</v>
      </c>
      <c r="V48" s="3">
        <f t="shared" si="30"/>
        <v>1</v>
      </c>
    </row>
    <row r="49" spans="1:22" s="196" customFormat="1" outlineLevel="1">
      <c r="A49" s="194"/>
      <c r="B49" s="194"/>
      <c r="C49" s="195"/>
      <c r="E49" s="196" t="s">
        <v>668</v>
      </c>
      <c r="G49" s="196" t="s">
        <v>661</v>
      </c>
      <c r="H49" s="196">
        <f xml:space="preserve"> SUM(J49:V49)</f>
        <v>5</v>
      </c>
      <c r="I49" s="209"/>
      <c r="J49" s="196">
        <f xml:space="preserve"> J47 + I49 - I48</f>
        <v>0</v>
      </c>
      <c r="K49" s="196">
        <f t="shared" ref="K49:P49" si="31" xml:space="preserve"> K47 + J49 - J48</f>
        <v>0</v>
      </c>
      <c r="L49" s="196">
        <f t="shared" si="31"/>
        <v>0</v>
      </c>
      <c r="M49" s="196">
        <f t="shared" si="31"/>
        <v>0</v>
      </c>
      <c r="N49" s="196">
        <f t="shared" si="31"/>
        <v>0</v>
      </c>
      <c r="O49" s="196">
        <f t="shared" si="31"/>
        <v>0</v>
      </c>
      <c r="P49" s="196">
        <f t="shared" si="31"/>
        <v>0</v>
      </c>
      <c r="Q49" s="196">
        <f t="shared" ref="Q49" si="32" xml:space="preserve"> Q47 + P49 - P48</f>
        <v>0</v>
      </c>
      <c r="R49" s="196">
        <f t="shared" ref="R49" si="33" xml:space="preserve"> R47 + Q49 - Q48</f>
        <v>1</v>
      </c>
      <c r="S49" s="196">
        <f t="shared" ref="S49" si="34" xml:space="preserve"> S47 + R49 - R48</f>
        <v>1</v>
      </c>
      <c r="T49" s="196">
        <f t="shared" ref="T49" si="35" xml:space="preserve"> T47 + S49 - S48</f>
        <v>1</v>
      </c>
      <c r="U49" s="196">
        <f t="shared" ref="U49" si="36" xml:space="preserve"> U47 + T49 - T48</f>
        <v>1</v>
      </c>
      <c r="V49" s="196">
        <f t="shared" ref="V49" si="37" xml:space="preserve"> V47 + U49 - U48</f>
        <v>1</v>
      </c>
    </row>
    <row r="50" spans="1:22" s="148" customFormat="1" outlineLevel="1">
      <c r="A50" s="160"/>
      <c r="B50" s="160"/>
      <c r="C50" s="161"/>
      <c r="D50" s="162"/>
      <c r="E50" s="162" t="s">
        <v>669</v>
      </c>
      <c r="F50" s="162">
        <f xml:space="preserve"> SUM(J49:V49)</f>
        <v>5</v>
      </c>
      <c r="G50" s="162" t="s">
        <v>670</v>
      </c>
      <c r="H50" s="162"/>
      <c r="I50" s="162"/>
      <c r="J50" s="162"/>
      <c r="K50" s="162"/>
      <c r="L50" s="162"/>
      <c r="M50" s="162"/>
      <c r="N50" s="162"/>
      <c r="O50" s="162"/>
      <c r="P50" s="162"/>
      <c r="Q50" s="162"/>
      <c r="R50" s="162"/>
      <c r="S50" s="162"/>
      <c r="T50" s="162"/>
      <c r="U50" s="162"/>
      <c r="V50" s="162"/>
    </row>
    <row r="51" spans="1:22" outlineLevel="1">
      <c r="E51" s="3"/>
      <c r="F51" s="3"/>
      <c r="G51" s="3"/>
      <c r="H51" s="3"/>
      <c r="I51" s="3"/>
      <c r="J51" s="3"/>
      <c r="K51" s="3"/>
      <c r="L51" s="3"/>
      <c r="M51" s="3"/>
      <c r="N51" s="3"/>
      <c r="O51" s="3"/>
      <c r="P51" s="3"/>
      <c r="Q51" s="3"/>
      <c r="R51" s="3"/>
      <c r="S51" s="3"/>
      <c r="T51" s="3"/>
      <c r="U51" s="3"/>
      <c r="V51" s="3"/>
    </row>
    <row r="52" spans="1:22" outlineLevel="1">
      <c r="B52" s="10" t="s">
        <v>671</v>
      </c>
      <c r="E52" s="3"/>
      <c r="F52" s="3"/>
      <c r="G52" s="3"/>
      <c r="H52" s="3"/>
      <c r="I52" s="3"/>
      <c r="J52" s="3"/>
      <c r="K52" s="3"/>
      <c r="L52" s="3"/>
      <c r="M52" s="3"/>
      <c r="N52" s="3"/>
      <c r="O52" s="3"/>
      <c r="P52" s="3"/>
      <c r="Q52" s="3"/>
      <c r="R52" s="3"/>
      <c r="S52" s="3"/>
      <c r="T52" s="3"/>
      <c r="U52" s="3"/>
      <c r="V52" s="3"/>
    </row>
    <row r="53" spans="1:22" outlineLevel="1">
      <c r="E53" s="3" t="str">
        <f xml:space="preserve"> E$14</f>
        <v>1st model column flag</v>
      </c>
      <c r="F53" s="3">
        <f t="shared" ref="F53:V53" si="38" xml:space="preserve"> F$14</f>
        <v>0</v>
      </c>
      <c r="G53" s="3" t="str">
        <f t="shared" si="38"/>
        <v>flag</v>
      </c>
      <c r="H53" s="3">
        <f t="shared" si="38"/>
        <v>1</v>
      </c>
      <c r="I53" s="3">
        <f t="shared" si="38"/>
        <v>0</v>
      </c>
      <c r="J53" s="3">
        <f t="shared" si="38"/>
        <v>1</v>
      </c>
      <c r="K53" s="3">
        <f t="shared" si="38"/>
        <v>0</v>
      </c>
      <c r="L53" s="3">
        <f t="shared" si="38"/>
        <v>0</v>
      </c>
      <c r="M53" s="3">
        <f t="shared" si="38"/>
        <v>0</v>
      </c>
      <c r="N53" s="3">
        <f t="shared" si="38"/>
        <v>0</v>
      </c>
      <c r="O53" s="3">
        <f t="shared" si="38"/>
        <v>0</v>
      </c>
      <c r="P53" s="3">
        <f t="shared" si="38"/>
        <v>0</v>
      </c>
      <c r="Q53" s="3">
        <f t="shared" si="38"/>
        <v>0</v>
      </c>
      <c r="R53" s="3">
        <f t="shared" si="38"/>
        <v>0</v>
      </c>
      <c r="S53" s="3">
        <f t="shared" si="38"/>
        <v>0</v>
      </c>
      <c r="T53" s="3">
        <f t="shared" si="38"/>
        <v>0</v>
      </c>
      <c r="U53" s="3">
        <f t="shared" si="38"/>
        <v>0</v>
      </c>
      <c r="V53" s="3">
        <f t="shared" si="38"/>
        <v>0</v>
      </c>
    </row>
    <row r="54" spans="1:22" outlineLevel="1">
      <c r="E54" s="3" t="str">
        <f xml:space="preserve"> E$34</f>
        <v>Forecast start period flag</v>
      </c>
      <c r="F54" s="3">
        <f t="shared" ref="F54:V54" si="39" xml:space="preserve"> F$34</f>
        <v>0</v>
      </c>
      <c r="G54" s="3" t="str">
        <f t="shared" si="39"/>
        <v>flag</v>
      </c>
      <c r="H54" s="3">
        <f t="shared" si="39"/>
        <v>1</v>
      </c>
      <c r="I54" s="3">
        <f t="shared" si="39"/>
        <v>0</v>
      </c>
      <c r="J54" s="3">
        <f t="shared" si="39"/>
        <v>0</v>
      </c>
      <c r="K54" s="3">
        <f t="shared" si="39"/>
        <v>0</v>
      </c>
      <c r="L54" s="3">
        <f t="shared" si="39"/>
        <v>0</v>
      </c>
      <c r="M54" s="3">
        <f t="shared" si="39"/>
        <v>0</v>
      </c>
      <c r="N54" s="3">
        <f t="shared" si="39"/>
        <v>0</v>
      </c>
      <c r="O54" s="3">
        <f t="shared" si="39"/>
        <v>0</v>
      </c>
      <c r="P54" s="3">
        <f t="shared" si="39"/>
        <v>0</v>
      </c>
      <c r="Q54" s="3">
        <f t="shared" si="39"/>
        <v>0</v>
      </c>
      <c r="R54" s="3">
        <f t="shared" si="39"/>
        <v>1</v>
      </c>
      <c r="S54" s="3">
        <f t="shared" si="39"/>
        <v>0</v>
      </c>
      <c r="T54" s="3">
        <f t="shared" si="39"/>
        <v>0</v>
      </c>
      <c r="U54" s="3">
        <f t="shared" si="39"/>
        <v>0</v>
      </c>
      <c r="V54" s="3">
        <f t="shared" si="39"/>
        <v>0</v>
      </c>
    </row>
    <row r="55" spans="1:22" s="196" customFormat="1" outlineLevel="1">
      <c r="A55" s="194"/>
      <c r="B55" s="194"/>
      <c r="C55" s="195"/>
      <c r="E55" s="196" t="s">
        <v>671</v>
      </c>
      <c r="G55" s="196" t="s">
        <v>661</v>
      </c>
      <c r="H55" s="196">
        <f xml:space="preserve"> SUM(J55:V55)</f>
        <v>8</v>
      </c>
      <c r="I55" s="209"/>
      <c r="J55" s="196">
        <f xml:space="preserve"> J53 + I55 - J54</f>
        <v>1</v>
      </c>
      <c r="K55" s="196">
        <f t="shared" ref="K55:P55" si="40" xml:space="preserve"> K53 + J55 - K54</f>
        <v>1</v>
      </c>
      <c r="L55" s="196">
        <f t="shared" si="40"/>
        <v>1</v>
      </c>
      <c r="M55" s="196">
        <f t="shared" si="40"/>
        <v>1</v>
      </c>
      <c r="N55" s="196">
        <f t="shared" si="40"/>
        <v>1</v>
      </c>
      <c r="O55" s="196">
        <f t="shared" si="40"/>
        <v>1</v>
      </c>
      <c r="P55" s="196">
        <f t="shared" si="40"/>
        <v>1</v>
      </c>
      <c r="Q55" s="196">
        <f t="shared" ref="Q55" si="41" xml:space="preserve"> Q53 + P55 - Q54</f>
        <v>1</v>
      </c>
      <c r="R55" s="196">
        <f t="shared" ref="R55" si="42" xml:space="preserve"> R53 + Q55 - R54</f>
        <v>0</v>
      </c>
      <c r="S55" s="196">
        <f t="shared" ref="S55" si="43" xml:space="preserve"> S53 + R55 - S54</f>
        <v>0</v>
      </c>
      <c r="T55" s="196">
        <f t="shared" ref="T55" si="44" xml:space="preserve"> T53 + S55 - T54</f>
        <v>0</v>
      </c>
      <c r="U55" s="196">
        <f t="shared" ref="U55" si="45" xml:space="preserve"> U53 + T55 - U54</f>
        <v>0</v>
      </c>
      <c r="V55" s="196">
        <f t="shared" ref="V55" si="46" xml:space="preserve"> V53 + U55 - V54</f>
        <v>0</v>
      </c>
    </row>
    <row r="56" spans="1:22" outlineLevel="1">
      <c r="E56" s="3" t="s">
        <v>672</v>
      </c>
      <c r="F56" s="3">
        <f xml:space="preserve"> SUM(J55:V55)</f>
        <v>8</v>
      </c>
      <c r="G56" s="3" t="s">
        <v>670</v>
      </c>
      <c r="H56" s="3"/>
      <c r="I56" s="3"/>
      <c r="J56" s="3"/>
      <c r="K56" s="3"/>
      <c r="L56" s="3"/>
      <c r="M56" s="3"/>
      <c r="N56" s="3"/>
      <c r="O56" s="3"/>
      <c r="P56" s="3"/>
      <c r="Q56" s="3"/>
      <c r="R56" s="3"/>
      <c r="S56" s="3"/>
      <c r="T56" s="3"/>
      <c r="U56" s="3"/>
      <c r="V56" s="3"/>
    </row>
    <row r="57" spans="1:22" outlineLevel="1">
      <c r="E57" s="3"/>
      <c r="F57" s="3"/>
      <c r="G57" s="3"/>
      <c r="H57" s="3"/>
      <c r="I57" s="3"/>
      <c r="J57" s="3"/>
      <c r="K57" s="3"/>
      <c r="L57" s="3"/>
      <c r="M57" s="3"/>
      <c r="N57" s="3"/>
      <c r="O57" s="3"/>
      <c r="P57" s="3"/>
      <c r="Q57" s="3"/>
      <c r="R57" s="3"/>
      <c r="S57" s="3"/>
      <c r="T57" s="3"/>
      <c r="U57" s="3"/>
      <c r="V57" s="3"/>
    </row>
    <row r="58" spans="1:22" outlineLevel="1">
      <c r="B58" s="10" t="s">
        <v>673</v>
      </c>
      <c r="E58" s="3"/>
      <c r="F58" s="3"/>
      <c r="G58" s="3"/>
      <c r="H58" s="3"/>
      <c r="I58" s="3"/>
      <c r="J58" s="3"/>
      <c r="K58" s="3"/>
      <c r="L58" s="3"/>
      <c r="M58" s="3"/>
      <c r="N58" s="3"/>
      <c r="O58" s="3"/>
      <c r="P58" s="3"/>
      <c r="Q58" s="3"/>
      <c r="R58" s="3"/>
      <c r="S58" s="3"/>
      <c r="T58" s="3"/>
      <c r="U58" s="3"/>
      <c r="V58" s="3"/>
    </row>
    <row r="59" spans="1:22" outlineLevel="1">
      <c r="E59" s="3" t="str">
        <f xml:space="preserve"> E$44</f>
        <v>Forecast end period flag</v>
      </c>
      <c r="F59" s="3">
        <f t="shared" ref="F59:V59" si="47" xml:space="preserve"> F$44</f>
        <v>0</v>
      </c>
      <c r="G59" s="3" t="str">
        <f t="shared" si="47"/>
        <v>flag</v>
      </c>
      <c r="H59" s="3">
        <f t="shared" si="47"/>
        <v>1</v>
      </c>
      <c r="I59" s="104">
        <f t="shared" si="47"/>
        <v>0</v>
      </c>
      <c r="J59" s="3">
        <f t="shared" si="47"/>
        <v>0</v>
      </c>
      <c r="K59" s="3">
        <f t="shared" si="47"/>
        <v>0</v>
      </c>
      <c r="L59" s="3">
        <f t="shared" si="47"/>
        <v>0</v>
      </c>
      <c r="M59" s="3">
        <f t="shared" si="47"/>
        <v>0</v>
      </c>
      <c r="N59" s="3">
        <f t="shared" si="47"/>
        <v>0</v>
      </c>
      <c r="O59" s="3">
        <f t="shared" si="47"/>
        <v>0</v>
      </c>
      <c r="P59" s="3">
        <f t="shared" si="47"/>
        <v>0</v>
      </c>
      <c r="Q59" s="3">
        <f t="shared" si="47"/>
        <v>0</v>
      </c>
      <c r="R59" s="3">
        <f t="shared" si="47"/>
        <v>0</v>
      </c>
      <c r="S59" s="3">
        <f t="shared" si="47"/>
        <v>0</v>
      </c>
      <c r="T59" s="3">
        <f t="shared" si="47"/>
        <v>0</v>
      </c>
      <c r="U59" s="3">
        <f t="shared" si="47"/>
        <v>0</v>
      </c>
      <c r="V59" s="3">
        <f t="shared" si="47"/>
        <v>1</v>
      </c>
    </row>
    <row r="60" spans="1:22" s="148" customFormat="1" outlineLevel="1">
      <c r="A60" s="160"/>
      <c r="B60" s="160"/>
      <c r="C60" s="161"/>
      <c r="D60" s="162"/>
      <c r="E60" s="162" t="s">
        <v>673</v>
      </c>
      <c r="F60" s="162"/>
      <c r="G60" s="162" t="s">
        <v>661</v>
      </c>
      <c r="H60" s="162">
        <f xml:space="preserve"> SUM(J60:V60)</f>
        <v>0</v>
      </c>
      <c r="I60" s="162"/>
      <c r="J60" s="162">
        <f xml:space="preserve"> I59</f>
        <v>0</v>
      </c>
      <c r="K60" s="162">
        <f t="shared" ref="K60:P60" si="48" xml:space="preserve"> J59</f>
        <v>0</v>
      </c>
      <c r="L60" s="162">
        <f t="shared" si="48"/>
        <v>0</v>
      </c>
      <c r="M60" s="162">
        <f t="shared" si="48"/>
        <v>0</v>
      </c>
      <c r="N60" s="162">
        <f t="shared" si="48"/>
        <v>0</v>
      </c>
      <c r="O60" s="162">
        <f t="shared" si="48"/>
        <v>0</v>
      </c>
      <c r="P60" s="162">
        <f t="shared" si="48"/>
        <v>0</v>
      </c>
      <c r="Q60" s="162">
        <f t="shared" ref="Q60" si="49" xml:space="preserve"> P59</f>
        <v>0</v>
      </c>
      <c r="R60" s="162">
        <f t="shared" ref="R60" si="50" xml:space="preserve"> Q59</f>
        <v>0</v>
      </c>
      <c r="S60" s="162">
        <f t="shared" ref="S60" si="51" xml:space="preserve"> R59</f>
        <v>0</v>
      </c>
      <c r="T60" s="162">
        <f t="shared" ref="T60" si="52" xml:space="preserve"> S59</f>
        <v>0</v>
      </c>
      <c r="U60" s="162">
        <f t="shared" ref="U60" si="53" xml:space="preserve"> T59</f>
        <v>0</v>
      </c>
      <c r="V60" s="162">
        <f t="shared" ref="V60" si="54" xml:space="preserve"> U59</f>
        <v>0</v>
      </c>
    </row>
    <row r="61" spans="1:22" outlineLevel="1">
      <c r="E61" s="3"/>
      <c r="F61" s="3"/>
      <c r="G61" s="3"/>
      <c r="H61" s="3"/>
      <c r="I61" s="3"/>
      <c r="J61" s="3"/>
      <c r="K61" s="3"/>
      <c r="L61" s="3"/>
      <c r="M61" s="3"/>
      <c r="N61" s="3"/>
      <c r="O61" s="3"/>
      <c r="P61" s="3"/>
      <c r="Q61" s="3"/>
      <c r="R61" s="3"/>
      <c r="S61" s="3"/>
      <c r="T61" s="3"/>
      <c r="U61" s="3"/>
      <c r="V61" s="3"/>
    </row>
    <row r="62" spans="1:22" outlineLevel="1">
      <c r="B62" s="10" t="s">
        <v>674</v>
      </c>
      <c r="E62" s="3"/>
      <c r="F62" s="3"/>
      <c r="G62" s="3"/>
      <c r="H62" s="3"/>
      <c r="I62" s="3"/>
      <c r="J62" s="3"/>
      <c r="K62" s="3"/>
      <c r="L62" s="3"/>
      <c r="M62" s="3"/>
      <c r="N62" s="3"/>
      <c r="O62" s="3"/>
      <c r="P62" s="3"/>
      <c r="Q62" s="3"/>
      <c r="R62" s="3"/>
      <c r="S62" s="3"/>
      <c r="T62" s="3"/>
      <c r="U62" s="3"/>
      <c r="V62" s="3"/>
    </row>
    <row r="63" spans="1:22" outlineLevel="1">
      <c r="E63" s="3" t="str">
        <f t="shared" ref="E63:V63" si="55" xml:space="preserve"> E$60</f>
        <v>First post-forecast period flag</v>
      </c>
      <c r="F63" s="3">
        <f t="shared" si="55"/>
        <v>0</v>
      </c>
      <c r="G63" s="3" t="str">
        <f t="shared" si="55"/>
        <v>flag</v>
      </c>
      <c r="H63" s="3">
        <f t="shared" si="55"/>
        <v>0</v>
      </c>
      <c r="I63" s="3">
        <f t="shared" si="55"/>
        <v>0</v>
      </c>
      <c r="J63" s="3">
        <f t="shared" si="55"/>
        <v>0</v>
      </c>
      <c r="K63" s="3">
        <f t="shared" si="55"/>
        <v>0</v>
      </c>
      <c r="L63" s="3">
        <f t="shared" si="55"/>
        <v>0</v>
      </c>
      <c r="M63" s="3">
        <f t="shared" si="55"/>
        <v>0</v>
      </c>
      <c r="N63" s="3">
        <f t="shared" si="55"/>
        <v>0</v>
      </c>
      <c r="O63" s="3">
        <f t="shared" si="55"/>
        <v>0</v>
      </c>
      <c r="P63" s="3">
        <f t="shared" si="55"/>
        <v>0</v>
      </c>
      <c r="Q63" s="3">
        <f t="shared" si="55"/>
        <v>0</v>
      </c>
      <c r="R63" s="3">
        <f t="shared" si="55"/>
        <v>0</v>
      </c>
      <c r="S63" s="3">
        <f t="shared" si="55"/>
        <v>0</v>
      </c>
      <c r="T63" s="3">
        <f t="shared" si="55"/>
        <v>0</v>
      </c>
      <c r="U63" s="3">
        <f t="shared" si="55"/>
        <v>0</v>
      </c>
      <c r="V63" s="3">
        <f t="shared" si="55"/>
        <v>0</v>
      </c>
    </row>
    <row r="64" spans="1:22" outlineLevel="1">
      <c r="E64" s="3" t="s">
        <v>674</v>
      </c>
      <c r="F64" s="3"/>
      <c r="G64" s="3" t="s">
        <v>661</v>
      </c>
      <c r="H64" s="3">
        <f xml:space="preserve"> SUM(J64:V64)</f>
        <v>0</v>
      </c>
      <c r="I64" s="104"/>
      <c r="J64" s="3">
        <f xml:space="preserve"> J63 + I64</f>
        <v>0</v>
      </c>
      <c r="K64" s="3">
        <f t="shared" ref="K64:P64" si="56" xml:space="preserve"> K63 + J64</f>
        <v>0</v>
      </c>
      <c r="L64" s="3">
        <f t="shared" si="56"/>
        <v>0</v>
      </c>
      <c r="M64" s="3">
        <f t="shared" si="56"/>
        <v>0</v>
      </c>
      <c r="N64" s="3">
        <f t="shared" si="56"/>
        <v>0</v>
      </c>
      <c r="O64" s="3">
        <f t="shared" si="56"/>
        <v>0</v>
      </c>
      <c r="P64" s="3">
        <f t="shared" si="56"/>
        <v>0</v>
      </c>
      <c r="Q64" s="3">
        <f t="shared" ref="Q64" si="57" xml:space="preserve"> Q63 + P64</f>
        <v>0</v>
      </c>
      <c r="R64" s="3">
        <f t="shared" ref="R64" si="58" xml:space="preserve"> R63 + Q64</f>
        <v>0</v>
      </c>
      <c r="S64" s="3">
        <f t="shared" ref="S64" si="59" xml:space="preserve"> S63 + R64</f>
        <v>0</v>
      </c>
      <c r="T64" s="3">
        <f t="shared" ref="T64" si="60" xml:space="preserve"> T63 + S64</f>
        <v>0</v>
      </c>
      <c r="U64" s="3">
        <f t="shared" ref="U64" si="61" xml:space="preserve"> U63 + T64</f>
        <v>0</v>
      </c>
      <c r="V64" s="3">
        <f t="shared" ref="V64" si="62" xml:space="preserve"> V63 + U64</f>
        <v>0</v>
      </c>
    </row>
    <row r="65" spans="1:22" outlineLevel="1">
      <c r="E65" s="3" t="s">
        <v>675</v>
      </c>
      <c r="F65" s="3">
        <f xml:space="preserve"> SUM(J64:V64)</f>
        <v>0</v>
      </c>
      <c r="G65" s="3" t="s">
        <v>670</v>
      </c>
      <c r="H65" s="3"/>
      <c r="I65" s="3"/>
      <c r="J65" s="3"/>
      <c r="K65" s="3"/>
      <c r="L65" s="3"/>
      <c r="M65" s="3"/>
      <c r="N65" s="3"/>
      <c r="O65" s="3"/>
      <c r="P65" s="3"/>
      <c r="Q65" s="3"/>
      <c r="R65" s="3"/>
      <c r="S65" s="3"/>
      <c r="T65" s="3"/>
      <c r="U65" s="3"/>
      <c r="V65" s="3"/>
    </row>
    <row r="66" spans="1:22" outlineLevel="1">
      <c r="E66" s="3"/>
      <c r="F66" s="3"/>
      <c r="G66" s="3"/>
      <c r="H66" s="3"/>
      <c r="I66" s="3"/>
      <c r="J66" s="3"/>
      <c r="K66" s="3"/>
      <c r="L66" s="3"/>
      <c r="M66" s="3"/>
      <c r="N66" s="3"/>
      <c r="O66" s="3"/>
      <c r="P66" s="3"/>
      <c r="Q66" s="3"/>
      <c r="R66" s="3"/>
      <c r="S66" s="3"/>
      <c r="T66" s="3"/>
      <c r="U66" s="3"/>
      <c r="V66" s="3"/>
    </row>
    <row r="67" spans="1:22" ht="12.75" customHeight="1">
      <c r="E67" s="3"/>
      <c r="F67" s="3"/>
      <c r="G67" s="3"/>
      <c r="H67" s="3"/>
      <c r="I67" s="3"/>
      <c r="J67" s="3"/>
      <c r="K67" s="3"/>
      <c r="L67" s="3"/>
      <c r="M67" s="3"/>
      <c r="N67" s="3"/>
      <c r="O67" s="3"/>
      <c r="P67" s="3"/>
      <c r="Q67" s="3"/>
      <c r="R67" s="3"/>
      <c r="S67" s="3"/>
      <c r="T67" s="3"/>
      <c r="U67" s="3"/>
      <c r="V67" s="3"/>
    </row>
    <row r="68" spans="1:22" ht="12.75" customHeight="1">
      <c r="A68" s="39" t="s">
        <v>676</v>
      </c>
      <c r="B68" s="39"/>
      <c r="C68" s="40"/>
      <c r="D68" s="39"/>
      <c r="E68" s="39"/>
      <c r="F68" s="39"/>
      <c r="G68" s="39"/>
      <c r="H68" s="39"/>
      <c r="I68" s="39"/>
      <c r="J68" s="39"/>
      <c r="K68" s="39"/>
      <c r="L68" s="39"/>
      <c r="M68" s="39"/>
      <c r="N68" s="39"/>
      <c r="O68" s="39"/>
      <c r="P68" s="39"/>
      <c r="Q68" s="39"/>
      <c r="R68" s="39"/>
      <c r="S68" s="39"/>
      <c r="T68" s="39"/>
      <c r="U68" s="39"/>
      <c r="V68" s="39"/>
    </row>
    <row r="69" spans="1:22" outlineLevel="1">
      <c r="E69" s="3"/>
      <c r="F69" s="3"/>
      <c r="G69" s="3"/>
      <c r="H69" s="3"/>
      <c r="I69" s="3"/>
      <c r="J69" s="3"/>
      <c r="K69" s="3"/>
      <c r="L69" s="3"/>
      <c r="M69" s="3"/>
      <c r="N69" s="3"/>
      <c r="O69" s="3"/>
      <c r="P69" s="3"/>
      <c r="Q69" s="3"/>
      <c r="R69" s="3"/>
      <c r="S69" s="3"/>
      <c r="T69" s="3"/>
      <c r="U69" s="3"/>
      <c r="V69" s="3"/>
    </row>
    <row r="70" spans="1:22" outlineLevel="1">
      <c r="B70" s="10" t="s">
        <v>677</v>
      </c>
      <c r="E70" s="3"/>
      <c r="F70" s="13"/>
      <c r="G70" s="14"/>
      <c r="H70" s="14"/>
      <c r="I70" s="14"/>
      <c r="J70" s="14"/>
      <c r="K70" s="14"/>
      <c r="L70" s="14"/>
      <c r="M70" s="14"/>
      <c r="N70" s="14"/>
      <c r="O70" s="14"/>
      <c r="P70" s="14"/>
      <c r="Q70" s="14"/>
      <c r="R70" s="14"/>
      <c r="S70" s="14"/>
      <c r="T70" s="14"/>
      <c r="U70" s="14"/>
      <c r="V70" s="14"/>
    </row>
    <row r="71" spans="1:22" outlineLevel="1">
      <c r="E71" s="3" t="str">
        <f t="shared" ref="E71:V71" si="63" xml:space="preserve"> E$14</f>
        <v>1st model column flag</v>
      </c>
      <c r="F71" s="3">
        <f t="shared" si="63"/>
        <v>0</v>
      </c>
      <c r="G71" s="3" t="str">
        <f t="shared" si="63"/>
        <v>flag</v>
      </c>
      <c r="H71" s="3">
        <f t="shared" si="63"/>
        <v>1</v>
      </c>
      <c r="I71" s="3">
        <f t="shared" si="63"/>
        <v>0</v>
      </c>
      <c r="J71" s="3">
        <f t="shared" si="63"/>
        <v>1</v>
      </c>
      <c r="K71" s="3">
        <f t="shared" si="63"/>
        <v>0</v>
      </c>
      <c r="L71" s="3">
        <f t="shared" si="63"/>
        <v>0</v>
      </c>
      <c r="M71" s="3">
        <f t="shared" si="63"/>
        <v>0</v>
      </c>
      <c r="N71" s="3">
        <f t="shared" si="63"/>
        <v>0</v>
      </c>
      <c r="O71" s="3">
        <f t="shared" si="63"/>
        <v>0</v>
      </c>
      <c r="P71" s="3">
        <f t="shared" si="63"/>
        <v>0</v>
      </c>
      <c r="Q71" s="3">
        <f t="shared" si="63"/>
        <v>0</v>
      </c>
      <c r="R71" s="3">
        <f t="shared" si="63"/>
        <v>0</v>
      </c>
      <c r="S71" s="3">
        <f t="shared" si="63"/>
        <v>0</v>
      </c>
      <c r="T71" s="3">
        <f t="shared" si="63"/>
        <v>0</v>
      </c>
      <c r="U71" s="3">
        <f t="shared" si="63"/>
        <v>0</v>
      </c>
      <c r="V71" s="3">
        <f t="shared" si="63"/>
        <v>0</v>
      </c>
    </row>
    <row r="72" spans="1:22" outlineLevel="1">
      <c r="E72" s="3" t="str">
        <f xml:space="preserve"> E$34</f>
        <v>Forecast start period flag</v>
      </c>
      <c r="F72" s="3">
        <f t="shared" ref="F72:V72" si="64" xml:space="preserve"> F$34</f>
        <v>0</v>
      </c>
      <c r="G72" s="3" t="str">
        <f t="shared" si="64"/>
        <v>flag</v>
      </c>
      <c r="H72" s="3">
        <f t="shared" si="64"/>
        <v>1</v>
      </c>
      <c r="I72" s="3">
        <f t="shared" si="64"/>
        <v>0</v>
      </c>
      <c r="J72" s="3">
        <f t="shared" si="64"/>
        <v>0</v>
      </c>
      <c r="K72" s="3">
        <f t="shared" si="64"/>
        <v>0</v>
      </c>
      <c r="L72" s="3">
        <f t="shared" si="64"/>
        <v>0</v>
      </c>
      <c r="M72" s="3">
        <f t="shared" si="64"/>
        <v>0</v>
      </c>
      <c r="N72" s="3">
        <f t="shared" si="64"/>
        <v>0</v>
      </c>
      <c r="O72" s="3">
        <f t="shared" si="64"/>
        <v>0</v>
      </c>
      <c r="P72" s="3">
        <f t="shared" si="64"/>
        <v>0</v>
      </c>
      <c r="Q72" s="3">
        <f t="shared" si="64"/>
        <v>0</v>
      </c>
      <c r="R72" s="3">
        <f t="shared" si="64"/>
        <v>1</v>
      </c>
      <c r="S72" s="3">
        <f t="shared" si="64"/>
        <v>0</v>
      </c>
      <c r="T72" s="3">
        <f t="shared" si="64"/>
        <v>0</v>
      </c>
      <c r="U72" s="3">
        <f t="shared" si="64"/>
        <v>0</v>
      </c>
      <c r="V72" s="3">
        <f t="shared" si="64"/>
        <v>0</v>
      </c>
    </row>
    <row r="73" spans="1:22" outlineLevel="1">
      <c r="E73" s="3" t="str">
        <f t="shared" ref="E73:V73" si="65" xml:space="preserve"> E$60</f>
        <v>First post-forecast period flag</v>
      </c>
      <c r="F73" s="3">
        <f t="shared" si="65"/>
        <v>0</v>
      </c>
      <c r="G73" s="3" t="str">
        <f t="shared" si="65"/>
        <v>flag</v>
      </c>
      <c r="H73" s="3">
        <f t="shared" si="65"/>
        <v>0</v>
      </c>
      <c r="I73" s="3">
        <f t="shared" si="65"/>
        <v>0</v>
      </c>
      <c r="J73" s="3">
        <f t="shared" si="65"/>
        <v>0</v>
      </c>
      <c r="K73" s="3">
        <f t="shared" si="65"/>
        <v>0</v>
      </c>
      <c r="L73" s="3">
        <f t="shared" si="65"/>
        <v>0</v>
      </c>
      <c r="M73" s="3">
        <f t="shared" si="65"/>
        <v>0</v>
      </c>
      <c r="N73" s="3">
        <f t="shared" si="65"/>
        <v>0</v>
      </c>
      <c r="O73" s="3">
        <f t="shared" si="65"/>
        <v>0</v>
      </c>
      <c r="P73" s="3">
        <f t="shared" si="65"/>
        <v>0</v>
      </c>
      <c r="Q73" s="3">
        <f t="shared" si="65"/>
        <v>0</v>
      </c>
      <c r="R73" s="3">
        <f t="shared" si="65"/>
        <v>0</v>
      </c>
      <c r="S73" s="3">
        <f t="shared" si="65"/>
        <v>0</v>
      </c>
      <c r="T73" s="3">
        <f t="shared" si="65"/>
        <v>0</v>
      </c>
      <c r="U73" s="3">
        <f t="shared" si="65"/>
        <v>0</v>
      </c>
      <c r="V73" s="3">
        <f t="shared" si="65"/>
        <v>0</v>
      </c>
    </row>
    <row r="74" spans="1:22" outlineLevel="1">
      <c r="E74" s="18" t="s">
        <v>678</v>
      </c>
      <c r="F74" s="18"/>
      <c r="G74" s="18" t="s">
        <v>657</v>
      </c>
      <c r="H74" s="18"/>
      <c r="I74" s="130"/>
      <c r="J74" s="18">
        <f t="shared" ref="J74:P74" si="66" xml:space="preserve"> I74 + SUM(J71:J73)</f>
        <v>1</v>
      </c>
      <c r="K74" s="18">
        <f t="shared" si="66"/>
        <v>1</v>
      </c>
      <c r="L74" s="18">
        <f t="shared" si="66"/>
        <v>1</v>
      </c>
      <c r="M74" s="18">
        <f t="shared" si="66"/>
        <v>1</v>
      </c>
      <c r="N74" s="18">
        <f t="shared" si="66"/>
        <v>1</v>
      </c>
      <c r="O74" s="18">
        <f t="shared" si="66"/>
        <v>1</v>
      </c>
      <c r="P74" s="18">
        <f t="shared" si="66"/>
        <v>1</v>
      </c>
      <c r="Q74" s="18">
        <f t="shared" ref="Q74" si="67" xml:space="preserve"> P74 + SUM(Q71:Q73)</f>
        <v>1</v>
      </c>
      <c r="R74" s="18">
        <f t="shared" ref="R74" si="68" xml:space="preserve"> Q74 + SUM(R71:R73)</f>
        <v>2</v>
      </c>
      <c r="S74" s="18">
        <f t="shared" ref="S74" si="69" xml:space="preserve"> R74 + SUM(S71:S73)</f>
        <v>2</v>
      </c>
      <c r="T74" s="18">
        <f t="shared" ref="T74" si="70" xml:space="preserve"> S74 + SUM(T71:T73)</f>
        <v>2</v>
      </c>
      <c r="U74" s="18">
        <f t="shared" ref="U74" si="71" xml:space="preserve"> T74 + SUM(U71:U73)</f>
        <v>2</v>
      </c>
      <c r="V74" s="18">
        <f t="shared" ref="V74" si="72" xml:space="preserve"> U74 + SUM(V71:V73)</f>
        <v>2</v>
      </c>
    </row>
    <row r="75" spans="1:22" outlineLevel="1">
      <c r="E75" s="14"/>
      <c r="F75" s="14"/>
      <c r="G75" s="14"/>
      <c r="H75" s="14"/>
      <c r="I75" s="14"/>
      <c r="J75" s="14"/>
      <c r="K75" s="14"/>
      <c r="L75" s="14"/>
      <c r="M75" s="14"/>
      <c r="N75" s="14"/>
      <c r="O75" s="14"/>
      <c r="P75" s="14"/>
      <c r="Q75" s="14"/>
      <c r="R75" s="14"/>
      <c r="S75" s="14"/>
      <c r="T75" s="14"/>
      <c r="U75" s="14"/>
      <c r="V75" s="14"/>
    </row>
    <row r="76" spans="1:22" outlineLevel="1">
      <c r="E76" s="12" t="str">
        <f xml:space="preserve"> Inputs!E$20</f>
        <v>Pre - forecast period</v>
      </c>
      <c r="F76" s="12" t="str">
        <f xml:space="preserve"> Inputs!F$20</f>
        <v>Pre-Fcst</v>
      </c>
      <c r="G76" s="12" t="str">
        <f xml:space="preserve"> Inputs!G$20</f>
        <v>label</v>
      </c>
      <c r="H76" s="12"/>
      <c r="I76" s="12"/>
      <c r="J76" s="12"/>
      <c r="K76" s="12"/>
      <c r="L76" s="12"/>
      <c r="M76" s="12"/>
      <c r="N76" s="12"/>
      <c r="O76" s="12"/>
      <c r="P76" s="12"/>
      <c r="Q76" s="12"/>
      <c r="R76" s="12"/>
      <c r="S76" s="12"/>
      <c r="T76" s="12"/>
      <c r="U76" s="12"/>
      <c r="V76" s="12"/>
    </row>
    <row r="77" spans="1:22" outlineLevel="1">
      <c r="E77" s="12" t="str">
        <f xml:space="preserve"> Inputs!E$21</f>
        <v>Forecast period</v>
      </c>
      <c r="F77" s="12" t="str">
        <f xml:space="preserve"> Inputs!F$21</f>
        <v>Forecast</v>
      </c>
      <c r="G77" s="12" t="str">
        <f xml:space="preserve"> Inputs!G$21</f>
        <v>label</v>
      </c>
      <c r="H77" s="12"/>
      <c r="I77" s="12"/>
      <c r="J77" s="12"/>
      <c r="K77" s="12"/>
      <c r="L77" s="12"/>
      <c r="M77" s="12"/>
      <c r="N77" s="12"/>
      <c r="O77" s="12"/>
      <c r="P77" s="12"/>
      <c r="Q77" s="12"/>
      <c r="R77" s="12"/>
      <c r="S77" s="12"/>
      <c r="T77" s="12"/>
      <c r="U77" s="12"/>
      <c r="V77" s="12"/>
    </row>
    <row r="78" spans="1:22" outlineLevel="1">
      <c r="E78" s="12" t="str">
        <f xml:space="preserve"> Inputs!E$22</f>
        <v>Post - forecast period</v>
      </c>
      <c r="F78" s="12" t="str">
        <f xml:space="preserve"> Inputs!F$22</f>
        <v>Post-Fcst</v>
      </c>
      <c r="G78" s="12" t="str">
        <f xml:space="preserve"> Inputs!G$22</f>
        <v>label</v>
      </c>
      <c r="H78" s="12"/>
      <c r="I78" s="12"/>
      <c r="J78" s="12"/>
      <c r="K78" s="12"/>
      <c r="L78" s="12"/>
      <c r="M78" s="12"/>
      <c r="N78" s="12"/>
      <c r="O78" s="12"/>
      <c r="P78" s="12"/>
      <c r="Q78" s="12"/>
      <c r="R78" s="12"/>
      <c r="S78" s="12"/>
      <c r="T78" s="12"/>
      <c r="U78" s="12"/>
      <c r="V78" s="12"/>
    </row>
    <row r="79" spans="1:22" outlineLevel="1">
      <c r="E79" s="18" t="str">
        <f t="shared" ref="E79:V79" si="73" xml:space="preserve"> E$74</f>
        <v>Timeline label counter</v>
      </c>
      <c r="F79" s="18">
        <f t="shared" si="73"/>
        <v>0</v>
      </c>
      <c r="G79" s="18" t="str">
        <f t="shared" si="73"/>
        <v>counter</v>
      </c>
      <c r="H79" s="18">
        <f t="shared" si="73"/>
        <v>0</v>
      </c>
      <c r="I79" s="18">
        <f t="shared" si="73"/>
        <v>0</v>
      </c>
      <c r="J79" s="18">
        <f t="shared" si="73"/>
        <v>1</v>
      </c>
      <c r="K79" s="18">
        <f t="shared" si="73"/>
        <v>1</v>
      </c>
      <c r="L79" s="18">
        <f t="shared" si="73"/>
        <v>1</v>
      </c>
      <c r="M79" s="18">
        <f t="shared" si="73"/>
        <v>1</v>
      </c>
      <c r="N79" s="18">
        <f t="shared" si="73"/>
        <v>1</v>
      </c>
      <c r="O79" s="18">
        <f t="shared" si="73"/>
        <v>1</v>
      </c>
      <c r="P79" s="18">
        <f t="shared" si="73"/>
        <v>1</v>
      </c>
      <c r="Q79" s="18">
        <f t="shared" si="73"/>
        <v>1</v>
      </c>
      <c r="R79" s="18">
        <f t="shared" si="73"/>
        <v>2</v>
      </c>
      <c r="S79" s="18">
        <f t="shared" si="73"/>
        <v>2</v>
      </c>
      <c r="T79" s="18">
        <f t="shared" si="73"/>
        <v>2</v>
      </c>
      <c r="U79" s="18">
        <f t="shared" si="73"/>
        <v>2</v>
      </c>
      <c r="V79" s="18">
        <f t="shared" si="73"/>
        <v>2</v>
      </c>
    </row>
    <row r="80" spans="1:22" outlineLevel="1">
      <c r="E80" s="3" t="s">
        <v>677</v>
      </c>
      <c r="F80" s="3"/>
      <c r="G80" s="3" t="s">
        <v>557</v>
      </c>
      <c r="H80" s="3"/>
      <c r="I80" s="3"/>
      <c r="J80" s="17" t="str">
        <f t="shared" ref="J80:P80" si="74" xml:space="preserve"> INDEX($F76:$F78, J79)</f>
        <v>Pre-Fcst</v>
      </c>
      <c r="K80" s="17" t="str">
        <f t="shared" si="74"/>
        <v>Pre-Fcst</v>
      </c>
      <c r="L80" s="17" t="str">
        <f t="shared" si="74"/>
        <v>Pre-Fcst</v>
      </c>
      <c r="M80" s="17" t="str">
        <f t="shared" si="74"/>
        <v>Pre-Fcst</v>
      </c>
      <c r="N80" s="17" t="str">
        <f t="shared" si="74"/>
        <v>Pre-Fcst</v>
      </c>
      <c r="O80" s="17" t="str">
        <f t="shared" si="74"/>
        <v>Pre-Fcst</v>
      </c>
      <c r="P80" s="17" t="str">
        <f t="shared" si="74"/>
        <v>Pre-Fcst</v>
      </c>
      <c r="Q80" s="17" t="str">
        <f t="shared" ref="Q80:V80" si="75" xml:space="preserve"> INDEX($F76:$F78, Q79)</f>
        <v>Pre-Fcst</v>
      </c>
      <c r="R80" s="17" t="str">
        <f t="shared" si="75"/>
        <v>Forecast</v>
      </c>
      <c r="S80" s="17" t="str">
        <f t="shared" si="75"/>
        <v>Forecast</v>
      </c>
      <c r="T80" s="17" t="str">
        <f t="shared" si="75"/>
        <v>Forecast</v>
      </c>
      <c r="U80" s="17" t="str">
        <f t="shared" si="75"/>
        <v>Forecast</v>
      </c>
      <c r="V80" s="17" t="str">
        <f t="shared" si="75"/>
        <v>Forecast</v>
      </c>
    </row>
    <row r="81" spans="1:22" outlineLevel="1">
      <c r="A81" s="3"/>
    </row>
    <row r="82" spans="1:22" outlineLevel="1">
      <c r="B82" s="10" t="s">
        <v>679</v>
      </c>
      <c r="E82" s="3"/>
      <c r="F82" s="3"/>
      <c r="G82" s="3"/>
      <c r="H82" s="3"/>
      <c r="I82" s="3"/>
      <c r="J82" s="3"/>
      <c r="K82" s="3"/>
      <c r="L82" s="3"/>
      <c r="M82" s="3"/>
      <c r="N82" s="3"/>
      <c r="O82" s="3"/>
      <c r="P82" s="3"/>
      <c r="Q82" s="3"/>
      <c r="R82" s="3"/>
      <c r="S82" s="3"/>
      <c r="T82" s="3"/>
      <c r="U82" s="3"/>
      <c r="V82" s="3"/>
    </row>
    <row r="83" spans="1:22" outlineLevel="1">
      <c r="E83" s="3" t="str">
        <f xml:space="preserve"> E$55</f>
        <v>Pre-forecast period flag</v>
      </c>
      <c r="F83" s="3">
        <f t="shared" ref="F83:V83" si="76" xml:space="preserve"> F$55</f>
        <v>0</v>
      </c>
      <c r="G83" s="3" t="str">
        <f t="shared" si="76"/>
        <v>flag</v>
      </c>
      <c r="H83" s="3">
        <f t="shared" si="76"/>
        <v>8</v>
      </c>
      <c r="I83" s="3">
        <f t="shared" si="76"/>
        <v>0</v>
      </c>
      <c r="J83" s="3">
        <f t="shared" si="76"/>
        <v>1</v>
      </c>
      <c r="K83" s="3">
        <f t="shared" si="76"/>
        <v>1</v>
      </c>
      <c r="L83" s="3">
        <f t="shared" si="76"/>
        <v>1</v>
      </c>
      <c r="M83" s="3">
        <f t="shared" si="76"/>
        <v>1</v>
      </c>
      <c r="N83" s="3">
        <f t="shared" si="76"/>
        <v>1</v>
      </c>
      <c r="O83" s="3">
        <f t="shared" si="76"/>
        <v>1</v>
      </c>
      <c r="P83" s="3">
        <f t="shared" si="76"/>
        <v>1</v>
      </c>
      <c r="Q83" s="3">
        <f t="shared" si="76"/>
        <v>1</v>
      </c>
      <c r="R83" s="3">
        <f t="shared" si="76"/>
        <v>0</v>
      </c>
      <c r="S83" s="3">
        <f t="shared" si="76"/>
        <v>0</v>
      </c>
      <c r="T83" s="3">
        <f t="shared" si="76"/>
        <v>0</v>
      </c>
      <c r="U83" s="3">
        <f t="shared" si="76"/>
        <v>0</v>
      </c>
      <c r="V83" s="3">
        <f t="shared" si="76"/>
        <v>0</v>
      </c>
    </row>
    <row r="84" spans="1:22" outlineLevel="1">
      <c r="E84" s="3" t="str">
        <f xml:space="preserve"> E$49</f>
        <v>Forecast period flag</v>
      </c>
      <c r="F84" s="3">
        <f t="shared" ref="F84:V84" si="77" xml:space="preserve"> F$49</f>
        <v>0</v>
      </c>
      <c r="G84" s="3" t="str">
        <f t="shared" si="77"/>
        <v>flag</v>
      </c>
      <c r="H84" s="3">
        <f t="shared" si="77"/>
        <v>5</v>
      </c>
      <c r="I84" s="3">
        <f t="shared" si="77"/>
        <v>0</v>
      </c>
      <c r="J84" s="3">
        <f t="shared" si="77"/>
        <v>0</v>
      </c>
      <c r="K84" s="3">
        <f t="shared" si="77"/>
        <v>0</v>
      </c>
      <c r="L84" s="3">
        <f t="shared" si="77"/>
        <v>0</v>
      </c>
      <c r="M84" s="3">
        <f t="shared" si="77"/>
        <v>0</v>
      </c>
      <c r="N84" s="3">
        <f t="shared" si="77"/>
        <v>0</v>
      </c>
      <c r="O84" s="3">
        <f t="shared" si="77"/>
        <v>0</v>
      </c>
      <c r="P84" s="3">
        <f t="shared" si="77"/>
        <v>0</v>
      </c>
      <c r="Q84" s="3">
        <f t="shared" si="77"/>
        <v>0</v>
      </c>
      <c r="R84" s="3">
        <f t="shared" si="77"/>
        <v>1</v>
      </c>
      <c r="S84" s="3">
        <f t="shared" si="77"/>
        <v>1</v>
      </c>
      <c r="T84" s="3">
        <f t="shared" si="77"/>
        <v>1</v>
      </c>
      <c r="U84" s="3">
        <f t="shared" si="77"/>
        <v>1</v>
      </c>
      <c r="V84" s="3">
        <f t="shared" si="77"/>
        <v>1</v>
      </c>
    </row>
    <row r="85" spans="1:22" outlineLevel="1">
      <c r="E85" s="3" t="str">
        <f t="shared" ref="E85:V85" si="78" xml:space="preserve"> E$64</f>
        <v>Post-forecast period flag</v>
      </c>
      <c r="F85" s="3">
        <f t="shared" si="78"/>
        <v>0</v>
      </c>
      <c r="G85" s="3" t="str">
        <f t="shared" si="78"/>
        <v>flag</v>
      </c>
      <c r="H85" s="3">
        <f t="shared" si="78"/>
        <v>0</v>
      </c>
      <c r="I85" s="3">
        <f t="shared" si="78"/>
        <v>0</v>
      </c>
      <c r="J85" s="3">
        <f t="shared" si="78"/>
        <v>0</v>
      </c>
      <c r="K85" s="3">
        <f t="shared" si="78"/>
        <v>0</v>
      </c>
      <c r="L85" s="3">
        <f t="shared" si="78"/>
        <v>0</v>
      </c>
      <c r="M85" s="3">
        <f t="shared" si="78"/>
        <v>0</v>
      </c>
      <c r="N85" s="3">
        <f t="shared" si="78"/>
        <v>0</v>
      </c>
      <c r="O85" s="3">
        <f t="shared" si="78"/>
        <v>0</v>
      </c>
      <c r="P85" s="3">
        <f t="shared" si="78"/>
        <v>0</v>
      </c>
      <c r="Q85" s="3">
        <f t="shared" si="78"/>
        <v>0</v>
      </c>
      <c r="R85" s="3">
        <f t="shared" si="78"/>
        <v>0</v>
      </c>
      <c r="S85" s="3">
        <f t="shared" si="78"/>
        <v>0</v>
      </c>
      <c r="T85" s="3">
        <f t="shared" si="78"/>
        <v>0</v>
      </c>
      <c r="U85" s="3">
        <f t="shared" si="78"/>
        <v>0</v>
      </c>
      <c r="V85" s="3">
        <f t="shared" si="78"/>
        <v>0</v>
      </c>
    </row>
    <row r="86" spans="1:22" outlineLevel="1">
      <c r="E86" s="3" t="s">
        <v>680</v>
      </c>
      <c r="F86" s="3"/>
      <c r="G86" s="3" t="s">
        <v>425</v>
      </c>
      <c r="H86" s="3">
        <f xml:space="preserve"> SUM(J86:V86)</f>
        <v>0</v>
      </c>
      <c r="I86" s="3"/>
      <c r="J86" s="3">
        <f t="shared" ref="J86:P86" si="79" xml:space="preserve"> MAX(0, SUM(J83:J85) - 1)</f>
        <v>0</v>
      </c>
      <c r="K86" s="3">
        <f t="shared" si="79"/>
        <v>0</v>
      </c>
      <c r="L86" s="3">
        <f t="shared" si="79"/>
        <v>0</v>
      </c>
      <c r="M86" s="3">
        <f t="shared" si="79"/>
        <v>0</v>
      </c>
      <c r="N86" s="3">
        <f t="shared" si="79"/>
        <v>0</v>
      </c>
      <c r="O86" s="3">
        <f t="shared" si="79"/>
        <v>0</v>
      </c>
      <c r="P86" s="3">
        <f t="shared" si="79"/>
        <v>0</v>
      </c>
      <c r="Q86" s="3">
        <f t="shared" ref="Q86:V86" si="80" xml:space="preserve"> MAX(0, SUM(Q83:Q85) - 1)</f>
        <v>0</v>
      </c>
      <c r="R86" s="3">
        <f t="shared" si="80"/>
        <v>0</v>
      </c>
      <c r="S86" s="3">
        <f t="shared" si="80"/>
        <v>0</v>
      </c>
      <c r="T86" s="3">
        <f t="shared" si="80"/>
        <v>0</v>
      </c>
      <c r="U86" s="3">
        <f t="shared" si="80"/>
        <v>0</v>
      </c>
      <c r="V86" s="3">
        <f t="shared" si="80"/>
        <v>0</v>
      </c>
    </row>
    <row r="87" spans="1:22" outlineLevel="1">
      <c r="E87" s="3" t="s">
        <v>681</v>
      </c>
      <c r="F87" s="3">
        <f xml:space="preserve"> SUM(J86:V86)</f>
        <v>0</v>
      </c>
      <c r="G87" s="3" t="s">
        <v>670</v>
      </c>
      <c r="H87" s="3"/>
      <c r="I87" s="3"/>
      <c r="J87" s="3"/>
      <c r="K87" s="3"/>
      <c r="L87" s="3"/>
      <c r="M87" s="3"/>
      <c r="N87" s="3"/>
      <c r="O87" s="3"/>
      <c r="P87" s="3"/>
      <c r="Q87" s="3"/>
      <c r="R87" s="3"/>
      <c r="S87" s="3"/>
      <c r="T87" s="3"/>
      <c r="U87" s="3"/>
      <c r="V87" s="3"/>
    </row>
    <row r="88" spans="1:22" outlineLevel="1">
      <c r="E88" s="3"/>
      <c r="F88" s="3"/>
      <c r="G88" s="3"/>
      <c r="H88" s="3"/>
      <c r="I88" s="3"/>
      <c r="J88" s="3"/>
      <c r="K88" s="3"/>
      <c r="L88" s="3"/>
      <c r="M88" s="3"/>
      <c r="N88" s="3"/>
      <c r="O88" s="3"/>
      <c r="P88" s="3"/>
      <c r="Q88" s="3"/>
      <c r="R88" s="3"/>
      <c r="S88" s="3"/>
      <c r="T88" s="3"/>
      <c r="U88" s="3"/>
      <c r="V88" s="3"/>
    </row>
    <row r="89" spans="1:22" outlineLevel="1">
      <c r="E89" s="3" t="str">
        <f xml:space="preserve"> E$11</f>
        <v>Model column total</v>
      </c>
      <c r="F89" s="3">
        <f xml:space="preserve"> F$11</f>
        <v>13</v>
      </c>
      <c r="G89" s="3" t="str">
        <f xml:space="preserve"> G$11</f>
        <v>columns</v>
      </c>
      <c r="H89" s="3"/>
      <c r="I89" s="3"/>
      <c r="J89" s="3"/>
      <c r="K89" s="3"/>
      <c r="L89" s="3"/>
      <c r="M89" s="3"/>
      <c r="N89" s="3"/>
      <c r="O89" s="3"/>
      <c r="P89" s="3"/>
      <c r="Q89" s="3"/>
      <c r="R89" s="3"/>
      <c r="S89" s="3"/>
      <c r="T89" s="3"/>
      <c r="U89" s="3"/>
      <c r="V89" s="3"/>
    </row>
    <row r="90" spans="1:22" outlineLevel="1">
      <c r="E90" s="3" t="str">
        <f xml:space="preserve"> E$87</f>
        <v>Overlapping in periods - total</v>
      </c>
      <c r="F90" s="3">
        <f xml:space="preserve"> F$87</f>
        <v>0</v>
      </c>
      <c r="G90" s="3" t="str">
        <f xml:space="preserve"> G$87</f>
        <v>periods</v>
      </c>
      <c r="H90" s="3"/>
      <c r="I90" s="3"/>
      <c r="J90" s="3"/>
      <c r="K90" s="3"/>
      <c r="L90" s="3"/>
      <c r="M90" s="3"/>
      <c r="N90" s="3"/>
      <c r="O90" s="3"/>
      <c r="P90" s="3"/>
      <c r="Q90" s="3"/>
      <c r="R90" s="3"/>
      <c r="S90" s="3"/>
      <c r="T90" s="3"/>
      <c r="U90" s="3"/>
      <c r="V90" s="3"/>
    </row>
    <row r="91" spans="1:22" outlineLevel="1">
      <c r="E91" s="3" t="str">
        <f xml:space="preserve"> E$56</f>
        <v>Pre-forecast period flag - total</v>
      </c>
      <c r="F91" s="3">
        <f xml:space="preserve"> F$56</f>
        <v>8</v>
      </c>
      <c r="G91" s="3" t="str">
        <f xml:space="preserve"> G$56</f>
        <v>periods</v>
      </c>
      <c r="H91" s="3"/>
      <c r="I91" s="3"/>
      <c r="J91" s="3"/>
      <c r="K91" s="3"/>
      <c r="L91" s="3"/>
      <c r="M91" s="3"/>
      <c r="N91" s="3"/>
      <c r="O91" s="3"/>
      <c r="P91" s="3"/>
      <c r="Q91" s="3"/>
      <c r="R91" s="3"/>
      <c r="S91" s="3"/>
      <c r="T91" s="3"/>
      <c r="U91" s="3"/>
      <c r="V91" s="3"/>
    </row>
    <row r="92" spans="1:22" outlineLevel="1">
      <c r="E92" s="3" t="str">
        <f xml:space="preserve"> E$50</f>
        <v xml:space="preserve">Total number of forecast periods </v>
      </c>
      <c r="F92" s="3">
        <f xml:space="preserve"> F$50</f>
        <v>5</v>
      </c>
      <c r="G92" s="3" t="str">
        <f xml:space="preserve"> G$50</f>
        <v>periods</v>
      </c>
      <c r="H92" s="3"/>
      <c r="I92" s="3"/>
      <c r="J92" s="3"/>
      <c r="K92" s="3"/>
      <c r="L92" s="3"/>
      <c r="M92" s="3"/>
      <c r="N92" s="3"/>
      <c r="O92" s="3"/>
      <c r="P92" s="3"/>
      <c r="Q92" s="3"/>
      <c r="R92" s="3"/>
      <c r="S92" s="3"/>
      <c r="T92" s="3"/>
      <c r="U92" s="3"/>
      <c r="V92" s="3"/>
    </row>
    <row r="93" spans="1:22" outlineLevel="1">
      <c r="E93" s="3" t="str">
        <f xml:space="preserve"> E$65</f>
        <v>Post-forecast period - total</v>
      </c>
      <c r="F93" s="3">
        <f xml:space="preserve"> F$65</f>
        <v>0</v>
      </c>
      <c r="G93" s="3" t="str">
        <f xml:space="preserve"> G$65</f>
        <v>periods</v>
      </c>
      <c r="H93" s="3"/>
      <c r="I93" s="3"/>
      <c r="J93" s="3"/>
      <c r="K93" s="3"/>
      <c r="L93" s="3"/>
      <c r="M93" s="3"/>
      <c r="N93" s="3"/>
      <c r="O93" s="3"/>
      <c r="P93" s="3"/>
      <c r="Q93" s="3"/>
      <c r="R93" s="3"/>
      <c r="S93" s="3"/>
      <c r="T93" s="3"/>
      <c r="U93" s="3"/>
      <c r="V93" s="3"/>
    </row>
    <row r="94" spans="1:22" outlineLevel="1">
      <c r="E94" s="3" t="s">
        <v>679</v>
      </c>
      <c r="F94" s="318">
        <f xml:space="preserve"> IF(SUM(F89:F90) - SUM(F91:F93) &lt;&gt; 0, 1, 0)</f>
        <v>0</v>
      </c>
      <c r="G94" s="3" t="s">
        <v>682</v>
      </c>
      <c r="H94" s="3"/>
      <c r="I94" s="3"/>
      <c r="J94" s="3"/>
      <c r="K94" s="3"/>
      <c r="L94" s="3"/>
      <c r="M94" s="3"/>
      <c r="N94" s="3"/>
      <c r="O94" s="3"/>
      <c r="P94" s="3"/>
      <c r="Q94" s="3"/>
      <c r="R94" s="3"/>
      <c r="S94" s="3"/>
      <c r="T94" s="3"/>
      <c r="U94" s="3"/>
      <c r="V94" s="3"/>
    </row>
    <row r="95" spans="1:22" outlineLevel="1">
      <c r="E95" s="3"/>
      <c r="F95" s="3"/>
      <c r="G95" s="3"/>
      <c r="H95" s="3"/>
      <c r="I95" s="3"/>
      <c r="J95" s="3"/>
      <c r="K95" s="3"/>
      <c r="L95" s="3"/>
      <c r="M95" s="3"/>
      <c r="N95" s="3"/>
      <c r="O95" s="3"/>
      <c r="P95" s="3"/>
      <c r="Q95" s="3"/>
      <c r="R95" s="3"/>
      <c r="S95" s="3"/>
      <c r="T95" s="3"/>
      <c r="U95" s="3"/>
      <c r="V95" s="3"/>
    </row>
    <row r="96" spans="1:22">
      <c r="E96" s="3"/>
      <c r="F96" s="3"/>
      <c r="G96" s="3"/>
      <c r="H96" s="3"/>
      <c r="I96" s="3"/>
      <c r="J96" s="3"/>
      <c r="K96" s="3"/>
      <c r="L96" s="3"/>
      <c r="M96" s="3"/>
      <c r="N96" s="3"/>
      <c r="O96" s="3"/>
      <c r="P96" s="3"/>
      <c r="Q96" s="3"/>
      <c r="R96" s="3"/>
      <c r="S96" s="3"/>
      <c r="T96" s="3"/>
      <c r="U96" s="3"/>
      <c r="V96" s="3"/>
    </row>
    <row r="97" spans="1:22" ht="12.75" customHeight="1">
      <c r="A97" s="39" t="s">
        <v>683</v>
      </c>
      <c r="B97" s="39"/>
      <c r="C97" s="40"/>
      <c r="D97" s="39"/>
      <c r="E97" s="39"/>
      <c r="F97" s="39"/>
      <c r="G97" s="39"/>
      <c r="H97" s="39"/>
      <c r="I97" s="39"/>
      <c r="J97" s="39"/>
      <c r="K97" s="39"/>
      <c r="L97" s="39"/>
      <c r="M97" s="39"/>
      <c r="N97" s="39"/>
      <c r="O97" s="39"/>
      <c r="P97" s="39"/>
      <c r="Q97" s="39"/>
      <c r="R97" s="39"/>
      <c r="S97" s="39"/>
      <c r="T97" s="39"/>
      <c r="U97" s="39"/>
      <c r="V97" s="39"/>
    </row>
    <row r="98" spans="1:22" outlineLevel="1">
      <c r="E98" s="3"/>
      <c r="F98" s="3"/>
      <c r="G98" s="3"/>
      <c r="H98" s="3"/>
      <c r="I98" s="3"/>
      <c r="J98" s="3"/>
      <c r="K98" s="3"/>
      <c r="L98" s="3"/>
      <c r="M98" s="3"/>
      <c r="N98" s="3"/>
      <c r="O98" s="3"/>
      <c r="P98" s="3"/>
      <c r="Q98" s="3"/>
      <c r="R98" s="3"/>
      <c r="S98" s="3"/>
      <c r="T98" s="3"/>
      <c r="U98" s="3"/>
      <c r="V98" s="3"/>
    </row>
    <row r="99" spans="1:22" outlineLevel="1">
      <c r="E99" s="9" t="str">
        <f xml:space="preserve"> Inputs!E$16</f>
        <v>First modelling column financial year#</v>
      </c>
      <c r="F99" s="9">
        <f xml:space="preserve"> Inputs!F$16</f>
        <v>2013</v>
      </c>
      <c r="G99" s="9" t="str">
        <f xml:space="preserve"> Inputs!G$16</f>
        <v>year #</v>
      </c>
      <c r="H99" s="9"/>
      <c r="I99" s="9"/>
      <c r="J99" s="9"/>
      <c r="K99" s="9"/>
      <c r="L99" s="9"/>
      <c r="M99" s="9"/>
      <c r="N99" s="9"/>
      <c r="O99" s="9"/>
      <c r="P99" s="9"/>
      <c r="Q99" s="9"/>
      <c r="R99" s="9"/>
      <c r="S99" s="9"/>
      <c r="T99" s="9"/>
      <c r="U99" s="9"/>
      <c r="V99" s="9"/>
    </row>
    <row r="100" spans="1:22" outlineLevel="1">
      <c r="E100" s="9" t="str">
        <f xml:space="preserve"> Inputs!E$17</f>
        <v>Financial year end month number</v>
      </c>
      <c r="F100" s="9">
        <f xml:space="preserve"> Inputs!F$17</f>
        <v>3</v>
      </c>
      <c r="G100" s="9" t="str">
        <f xml:space="preserve"> Inputs!G$17</f>
        <v>month #</v>
      </c>
      <c r="H100" s="9"/>
      <c r="I100" s="9"/>
      <c r="J100" s="9"/>
      <c r="K100" s="9"/>
      <c r="L100" s="9"/>
      <c r="M100" s="9"/>
      <c r="N100" s="9"/>
      <c r="O100" s="9"/>
      <c r="P100" s="9"/>
      <c r="Q100" s="9"/>
      <c r="R100" s="9"/>
      <c r="S100" s="9"/>
      <c r="T100" s="9"/>
      <c r="U100" s="9"/>
      <c r="V100" s="9"/>
    </row>
    <row r="101" spans="1:22" outlineLevel="1">
      <c r="E101" s="16" t="str">
        <f t="shared" ref="E101:V101" si="81" xml:space="preserve"> E$25</f>
        <v>Model period ending</v>
      </c>
      <c r="F101" s="16">
        <f t="shared" si="81"/>
        <v>0</v>
      </c>
      <c r="G101" s="16" t="str">
        <f t="shared" si="81"/>
        <v>date</v>
      </c>
      <c r="H101" s="16">
        <f t="shared" si="81"/>
        <v>0</v>
      </c>
      <c r="I101" s="16">
        <f t="shared" si="81"/>
        <v>0</v>
      </c>
      <c r="J101" s="16">
        <f t="shared" si="81"/>
        <v>41364</v>
      </c>
      <c r="K101" s="16">
        <f t="shared" si="81"/>
        <v>41729</v>
      </c>
      <c r="L101" s="16">
        <f t="shared" si="81"/>
        <v>42094</v>
      </c>
      <c r="M101" s="16">
        <f t="shared" si="81"/>
        <v>42460</v>
      </c>
      <c r="N101" s="16">
        <f t="shared" si="81"/>
        <v>42825</v>
      </c>
      <c r="O101" s="16">
        <f t="shared" si="81"/>
        <v>43190</v>
      </c>
      <c r="P101" s="16">
        <f t="shared" si="81"/>
        <v>43555</v>
      </c>
      <c r="Q101" s="16">
        <f t="shared" si="81"/>
        <v>43921</v>
      </c>
      <c r="R101" s="16">
        <f t="shared" si="81"/>
        <v>44286</v>
      </c>
      <c r="S101" s="16">
        <f t="shared" si="81"/>
        <v>44651</v>
      </c>
      <c r="T101" s="16">
        <f t="shared" si="81"/>
        <v>45016</v>
      </c>
      <c r="U101" s="16">
        <f t="shared" si="81"/>
        <v>45382</v>
      </c>
      <c r="V101" s="16">
        <f t="shared" si="81"/>
        <v>45747</v>
      </c>
    </row>
    <row r="102" spans="1:22" outlineLevel="1">
      <c r="E102" s="3" t="str">
        <f t="shared" ref="E102:V102" si="82" xml:space="preserve"> E$14</f>
        <v>1st model column flag</v>
      </c>
      <c r="F102" s="3">
        <f t="shared" si="82"/>
        <v>0</v>
      </c>
      <c r="G102" s="3" t="str">
        <f t="shared" si="82"/>
        <v>flag</v>
      </c>
      <c r="H102" s="3">
        <f t="shared" si="82"/>
        <v>1</v>
      </c>
      <c r="I102" s="3">
        <f t="shared" si="82"/>
        <v>0</v>
      </c>
      <c r="J102" s="3">
        <f t="shared" si="82"/>
        <v>1</v>
      </c>
      <c r="K102" s="3">
        <f t="shared" si="82"/>
        <v>0</v>
      </c>
      <c r="L102" s="3">
        <f t="shared" si="82"/>
        <v>0</v>
      </c>
      <c r="M102" s="3">
        <f t="shared" si="82"/>
        <v>0</v>
      </c>
      <c r="N102" s="3">
        <f t="shared" si="82"/>
        <v>0</v>
      </c>
      <c r="O102" s="3">
        <f t="shared" si="82"/>
        <v>0</v>
      </c>
      <c r="P102" s="3">
        <f t="shared" si="82"/>
        <v>0</v>
      </c>
      <c r="Q102" s="3">
        <f t="shared" si="82"/>
        <v>0</v>
      </c>
      <c r="R102" s="3">
        <f t="shared" si="82"/>
        <v>0</v>
      </c>
      <c r="S102" s="3">
        <f t="shared" si="82"/>
        <v>0</v>
      </c>
      <c r="T102" s="3">
        <f t="shared" si="82"/>
        <v>0</v>
      </c>
      <c r="U102" s="3">
        <f t="shared" si="82"/>
        <v>0</v>
      </c>
      <c r="V102" s="3">
        <f t="shared" si="82"/>
        <v>0</v>
      </c>
    </row>
    <row r="103" spans="1:22" s="148" customFormat="1" outlineLevel="1">
      <c r="A103" s="160"/>
      <c r="B103" s="160"/>
      <c r="C103" s="161"/>
      <c r="D103" s="162"/>
      <c r="E103" s="162" t="s">
        <v>684</v>
      </c>
      <c r="F103" s="160"/>
      <c r="G103" s="162" t="s">
        <v>549</v>
      </c>
      <c r="H103" s="162"/>
      <c r="I103" s="187"/>
      <c r="J103" s="190">
        <f t="shared" ref="J103:P103" si="83" xml:space="preserve"> IF(J102 = 1, $F99, IF(J101 &gt; (DATE(I103, $F100 + 1, 1) - 1), I103 + 1, I103))</f>
        <v>2013</v>
      </c>
      <c r="K103" s="190">
        <f t="shared" si="83"/>
        <v>2014</v>
      </c>
      <c r="L103" s="190">
        <f t="shared" si="83"/>
        <v>2015</v>
      </c>
      <c r="M103" s="190">
        <f t="shared" si="83"/>
        <v>2016</v>
      </c>
      <c r="N103" s="190">
        <f t="shared" si="83"/>
        <v>2017</v>
      </c>
      <c r="O103" s="190">
        <f t="shared" si="83"/>
        <v>2018</v>
      </c>
      <c r="P103" s="190">
        <f t="shared" si="83"/>
        <v>2019</v>
      </c>
      <c r="Q103" s="190">
        <f t="shared" ref="Q103" si="84" xml:space="preserve"> IF(Q102 = 1, $F99, IF(Q101 &gt; (DATE(P103, $F100 + 1, 1) - 1), P103 + 1, P103))</f>
        <v>2020</v>
      </c>
      <c r="R103" s="190">
        <f t="shared" ref="R103" si="85" xml:space="preserve"> IF(R102 = 1, $F99, IF(R101 &gt; (DATE(Q103, $F100 + 1, 1) - 1), Q103 + 1, Q103))</f>
        <v>2021</v>
      </c>
      <c r="S103" s="190">
        <f t="shared" ref="S103" si="86" xml:space="preserve"> IF(S102 = 1, $F99, IF(S101 &gt; (DATE(R103, $F100 + 1, 1) - 1), R103 + 1, R103))</f>
        <v>2022</v>
      </c>
      <c r="T103" s="190">
        <f t="shared" ref="T103" si="87" xml:space="preserve"> IF(T102 = 1, $F99, IF(T101 &gt; (DATE(S103, $F100 + 1, 1) - 1), S103 + 1, S103))</f>
        <v>2023</v>
      </c>
      <c r="U103" s="190">
        <f t="shared" ref="U103" si="88" xml:space="preserve"> IF(U102 = 1, $F99, IF(U101 &gt; (DATE(T103, $F100 + 1, 1) - 1), T103 + 1, T103))</f>
        <v>2024</v>
      </c>
      <c r="V103" s="190">
        <f t="shared" ref="V103" si="89" xml:space="preserve"> IF(V102 = 1, $F99, IF(V101 &gt; (DATE(U103, $F100 + 1, 1) - 1), U103 + 1, U103))</f>
        <v>2025</v>
      </c>
    </row>
    <row r="104" spans="1:22" outlineLevel="1"/>
  </sheetData>
  <phoneticPr fontId="0" type="noConversion"/>
  <conditionalFormatting sqref="F94">
    <cfRule type="cellIs" dxfId="36" priority="54" stopIfTrue="1" operator="notEqual">
      <formula>0</formula>
    </cfRule>
    <cfRule type="cellIs" dxfId="35" priority="55" stopIfTrue="1" operator="equal">
      <formula>""</formula>
    </cfRule>
  </conditionalFormatting>
  <conditionalFormatting sqref="F2">
    <cfRule type="cellIs" dxfId="3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3" stopIfTrue="1" operator="equal" id="{3EECE7C7-D648-4E3C-988D-BB5800939AA0}">
            <xm:f>Inputs!$F$21</xm:f>
            <x14:dxf>
              <fill>
                <patternFill>
                  <bgColor indexed="44"/>
                </patternFill>
              </fill>
            </x14:dxf>
          </x14:cfRule>
          <x14:cfRule type="cellIs" priority="2884" stopIfTrue="1" operator="equal" id="{232BCAE7-06E2-4CE5-90DE-E7F58A50457E}">
            <xm:f>Inputs!$F$20</xm:f>
            <x14:dxf>
              <fill>
                <patternFill>
                  <bgColor indexed="47"/>
                </patternFill>
              </fill>
            </x14:dxf>
          </x14:cfRule>
          <xm:sqref>J3:V3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B0F774345790458DB4A4367E18833A" ma:contentTypeVersion="8" ma:contentTypeDescription="Create a new document." ma:contentTypeScope="" ma:versionID="ce2c24823c11b02fb9283b89a0fb182e">
  <xsd:schema xmlns:xsd="http://www.w3.org/2001/XMLSchema" xmlns:xs="http://www.w3.org/2001/XMLSchema" xmlns:p="http://schemas.microsoft.com/office/2006/metadata/properties" xmlns:ns2="75218f79-9bff-4f49-be04-bc4180e445a3" xmlns:ns3="20ff529c-908b-4c2b-8991-8fdf97f11bac" targetNamespace="http://schemas.microsoft.com/office/2006/metadata/properties" ma:root="true" ma:fieldsID="112b8cdb312d893e9d22caac68e8b4ae" ns2:_="" ns3:_="">
    <xsd:import namespace="75218f79-9bff-4f49-be04-bc4180e445a3"/>
    <xsd:import namespace="20ff529c-908b-4c2b-8991-8fdf97f11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18f79-9bff-4f49-be04-bc4180e44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f529c-908b-4c2b-8991-8fdf97f11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8219FE-E968-43EE-BDFF-F8DA0F1B5F4C}"/>
</file>

<file path=customXml/itemProps2.xml><?xml version="1.0" encoding="utf-8"?>
<ds:datastoreItem xmlns:ds="http://schemas.openxmlformats.org/officeDocument/2006/customXml" ds:itemID="{2D9472FB-38B5-45D0-849B-9A1C39CBACAD}"/>
</file>

<file path=customXml/itemProps3.xml><?xml version="1.0" encoding="utf-8"?>
<ds:datastoreItem xmlns:ds="http://schemas.openxmlformats.org/officeDocument/2006/customXml" ds:itemID="{3E747DB0-5205-47CC-A223-9E0F2025D2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Revenue adjustments feeeder model</dc:title>
  <dc:subject/>
  <dc:creator>OFWAT</dc:creator>
  <cp:keywords/>
  <dc:description/>
  <cp:lastModifiedBy>Calabrese, Michael</cp:lastModifiedBy>
  <cp:revision/>
  <dcterms:created xsi:type="dcterms:W3CDTF">2011-07-29T09:10:41Z</dcterms:created>
  <dcterms:modified xsi:type="dcterms:W3CDTF">2019-08-16T10:56:29Z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0x0101004DB0F774345790458DB4A4367E18833A</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Stakeholder">
    <vt:lpwstr/>
  </property>
  <property fmtid="{D5CDD505-2E9C-101B-9397-08002B2CF9AE}" pid="7" name="Security Classification">
    <vt:lpwstr>21;#OFFICIAL|c2540f30-f875-494b-a43f-ebfb5017a6ad</vt:lpwstr>
  </property>
  <property fmtid="{D5CDD505-2E9C-101B-9397-08002B2CF9AE}" pid="8" name="Hierarchy">
    <vt:lpwstr/>
  </property>
  <property fmtid="{D5CDD505-2E9C-101B-9397-08002B2CF9AE}" pid="9" name="Collection">
    <vt:lpwstr/>
  </property>
  <property fmtid="{D5CDD505-2E9C-101B-9397-08002B2CF9AE}" pid="10" name="Stakeholder 5">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b128efbe498d4e38a73555a2e7be12ea">
    <vt:lpwstr/>
  </property>
  <property fmtid="{D5CDD505-2E9C-101B-9397-08002B2CF9AE}" pid="14" name="m279c8e365374608a4eb2bb657f838c2">
    <vt:lpwstr/>
  </property>
  <property fmtid="{D5CDD505-2E9C-101B-9397-08002B2CF9AE}" pid="15" name="j014a7bd3fd34d828fc493e84f684b49">
    <vt:lpwstr/>
  </property>
  <property fmtid="{D5CDD505-2E9C-101B-9397-08002B2CF9AE}" pid="16" name="b2faa34e97554b63aaaf45270201a270">
    <vt:lpwstr/>
  </property>
  <property fmtid="{D5CDD505-2E9C-101B-9397-08002B2CF9AE}" pid="17" name="b20f10deb29d4945907115b7b62c5b70">
    <vt:lpwstr/>
  </property>
  <property fmtid="{D5CDD505-2E9C-101B-9397-08002B2CF9AE}" pid="18" name="j7c77f2a1a924badb0d621542422dc19">
    <vt:lpwstr/>
  </property>
  <property fmtid="{D5CDD505-2E9C-101B-9397-08002B2CF9AE}" pid="19" name="oe9d4f963f4c420b8d2b35d038476850">
    <vt:lpwstr>Risk and Reward|c78d1602-226e-4dfc-b981-a8a88923ba74</vt:lpwstr>
  </property>
  <property fmtid="{D5CDD505-2E9C-101B-9397-08002B2CF9AE}" pid="20" name="a9250910d34f4f6d82af870f608babb6">
    <vt:lpwstr/>
  </property>
  <property fmtid="{D5CDD505-2E9C-101B-9397-08002B2CF9AE}" pid="21" name="da4e9ae56afa494a84f353054bd212ec">
    <vt:lpwstr>OFFICIAL|c2540f30-f875-494b-a43f-ebfb5017a6ad</vt:lpwstr>
  </property>
  <property fmtid="{D5CDD505-2E9C-101B-9397-08002B2CF9AE}" pid="22" name="TaxCatchAll">
    <vt:lpwstr>151;#Risk and Reward|c78d1602-226e-4dfc-b981-a8a88923ba74;#21;#OFFICIAL|c2540f30-f875-494b-a43f-ebfb5017a6ad</vt:lpwstr>
  </property>
  <property fmtid="{D5CDD505-2E9C-101B-9397-08002B2CF9AE}" pid="23" name="f8aa492165544285b4c7fe9d1b6ad82c">
    <vt:lpwstr/>
  </property>
  <property fmtid="{D5CDD505-2E9C-101B-9397-08002B2CF9AE}" pid="24" name="AuthorIds_UIVersion_4096">
    <vt:lpwstr>218</vt:lpwstr>
  </property>
</Properties>
</file>