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showInkAnnotation="0" codeName="ThisWorkbook" defaultThemeVersion="124226"/>
  <xr:revisionPtr revIDLastSave="2" documentId="8_{18833A0F-4351-4038-908B-2DBF8157057C}" xr6:coauthVersionLast="47" xr6:coauthVersionMax="47" xr10:uidLastSave="{11EBE315-E3B0-45EA-B056-2793A5439C71}"/>
  <bookViews>
    <workbookView xWindow="-110" yWindow="-110" windowWidth="19420" windowHeight="10420" tabRatio="710"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20" l="1"/>
  <c r="R57" i="7"/>
  <c r="R58" i="7"/>
  <c r="R59" i="7"/>
  <c r="R60" i="7"/>
  <c r="R61" i="7"/>
  <c r="R62" i="7"/>
  <c r="R63" i="7"/>
  <c r="R64" i="7"/>
  <c r="R65" i="7"/>
  <c r="R66" i="7"/>
  <c r="R67" i="7"/>
  <c r="R56" i="7"/>
  <c r="M77" i="12"/>
  <c r="G18" i="9"/>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Q161" i="21" s="1"/>
  <c r="Q163" i="21" s="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<sst xmlns="http://schemas.openxmlformats.org/spreadsheetml/2006/main" count="1059" uniqueCount="436">
  <si>
    <t>Workbook title:</t>
  </si>
  <si>
    <t>RPI-CPIH wedge true up</t>
  </si>
  <si>
    <t>Version:</t>
  </si>
  <si>
    <t>Filename:</t>
  </si>
  <si>
    <t>RPI-CPIH-wedge-true-up-model-Dec-2020-v5.xlsx</t>
  </si>
  <si>
    <t>Date:</t>
  </si>
  <si>
    <t>Author:</t>
  </si>
  <si>
    <t>Ofwat</t>
  </si>
  <si>
    <t>Author contact information:</t>
  </si>
  <si>
    <t>OfwatPandO@ofwat.gov.uk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</si>
  <si>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</si>
  <si>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</si>
  <si>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</si>
  <si>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</si>
  <si>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</si>
  <si>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</si>
  <si>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</si>
  <si>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February 2020 version</t>
  </si>
  <si>
    <t>Calc</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</si>
  <si>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</si>
  <si>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</si>
  <si>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</si>
  <si>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</si>
  <si>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</si>
  <si>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</si>
  <si>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</si>
  <si>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</si>
  <si>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</si>
  <si>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</si>
  <si>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</si>
  <si>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</si>
  <si>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</si>
  <si>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</si>
  <si>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</si>
  <si>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</si>
  <si>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</si>
  <si>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</si>
  <si>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</si>
  <si>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</si>
  <si>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</si>
  <si>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</si>
  <si>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</si>
  <si>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</si>
  <si>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</si>
  <si>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</si>
  <si>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</si>
  <si>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</si>
  <si>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</si>
  <si>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</si>
  <si>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</si>
  <si>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</si>
  <si>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</si>
  <si>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</si>
  <si>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</si>
  <si>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</si>
  <si>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</si>
  <si>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</si>
  <si>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</si>
  <si>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</si>
  <si>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</si>
  <si>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</si>
  <si>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</si>
  <si>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</si>
  <si>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</si>
  <si>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</si>
  <si>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</si>
  <si>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</si>
  <si>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</si>
  <si>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</si>
  <si>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</si>
  <si>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</si>
  <si>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</si>
  <si>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</si>
  <si>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</si>
  <si>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</si>
  <si>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</si>
  <si>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</si>
  <si>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</si>
  <si>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</si>
  <si>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</si>
  <si>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</si>
  <si>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</si>
  <si>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</si>
  <si>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</si>
  <si>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</si>
  <si>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</si>
  <si>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</si>
  <si>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</si>
  <si>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</si>
  <si>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</si>
  <si>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</si>
  <si>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</si>
  <si>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</si>
  <si>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</si>
  <si>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</si>
  <si>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</si>
  <si>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</si>
  <si>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</si>
  <si>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</si>
  <si>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</si>
  <si>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</si>
  <si>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</si>
  <si>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</si>
  <si>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</si>
  <si>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</si>
  <si>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</si>
  <si>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</si>
  <si>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</si>
  <si>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</si>
  <si>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</si>
  <si>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</si>
  <si>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</si>
  <si>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</si>
  <si>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</si>
  <si>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</si>
  <si>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</si>
  <si>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</si>
  <si>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</si>
  <si>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</si>
  <si>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</si>
  <si>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</si>
  <si>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</si>
  <si>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</si>
  <si>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</si>
  <si>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</si>
  <si>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</si>
  <si>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Inputs - row format</t>
  </si>
  <si>
    <t>Calculation of true up - Water Network</t>
  </si>
  <si>
    <t>Calculation of true up - Wastewater Network</t>
  </si>
  <si>
    <t>Calculation of true up - Bio Resources</t>
  </si>
  <si>
    <t>Calculation of true up - Dummy Control</t>
  </si>
  <si>
    <t>Error chks</t>
  </si>
  <si>
    <t>Constant</t>
  </si>
  <si>
    <t>Unit</t>
  </si>
  <si>
    <t>Total</t>
  </si>
  <si>
    <t>Data sourced from:</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</si>
  <si>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</si>
  <si>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</si>
  <si>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</si>
  <si>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</si>
  <si>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</si>
  <si>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</si>
  <si>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</si>
  <si>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</si>
  <si>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</si>
  <si>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</si>
  <si>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</si>
  <si>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</si>
  <si>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</si>
  <si>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</si>
  <si>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FINAL DETERMINATION ASSUMPTIONS</t>
  </si>
  <si>
    <t>RPI - final determination</t>
  </si>
  <si>
    <t>RPI: April - index - final determination</t>
  </si>
  <si>
    <t>index</t>
  </si>
  <si>
    <t>PR19 Financial model, 'Index' sheet row 131</t>
  </si>
  <si>
    <t>RPI: May - index - final determination</t>
  </si>
  <si>
    <t>PR19 Financial model, 'Index' sheet row 132</t>
  </si>
  <si>
    <t>RPI: June - index - final determination</t>
  </si>
  <si>
    <t>PR19 Financial model, 'Index' sheet row 133</t>
  </si>
  <si>
    <t>RPI: July - index - final determination</t>
  </si>
  <si>
    <t>PR19 Financial model, 'Index' sheet row 134</t>
  </si>
  <si>
    <t>RPI: August - index - final determination</t>
  </si>
  <si>
    <t>PR19 Financial model, 'Index' sheet row 135</t>
  </si>
  <si>
    <t>RPI: September - index - final determination</t>
  </si>
  <si>
    <t>PR19 Financial model, 'Index' sheet row 136</t>
  </si>
  <si>
    <t>RPI: October - index - final determination</t>
  </si>
  <si>
    <t>PR19 Financial model, 'Index' sheet row 137</t>
  </si>
  <si>
    <t>RPI: November - index - final determination</t>
  </si>
  <si>
    <t>PR19 Financial model, 'Index' sheet row 138</t>
  </si>
  <si>
    <t>RPI: December - index - final determination</t>
  </si>
  <si>
    <t>PR19 Financial model, 'Index' sheet row 139</t>
  </si>
  <si>
    <t>RPI: January - index - final determination</t>
  </si>
  <si>
    <t>PR19 Financial model, 'Index' sheet row 140</t>
  </si>
  <si>
    <t>RPI: February - index - final determination</t>
  </si>
  <si>
    <t>PR19 Financial model, 'Index' sheet row 141</t>
  </si>
  <si>
    <t>RPI: March - index - final determination</t>
  </si>
  <si>
    <t>PR19 Financial model, 'Index' sheet row 142</t>
  </si>
  <si>
    <t>CPI(H) - final determination</t>
  </si>
  <si>
    <t>CPI(H): April - index - final determination</t>
  </si>
  <si>
    <t>PR19 Financial model, 'Index' sheet F59 and 'Index' sheet row 10</t>
  </si>
  <si>
    <t>CPI(H): May - index - final determination</t>
  </si>
  <si>
    <t>PR19 Financial model, 'Index' sheet F60 and 'Index' sheet row 11</t>
  </si>
  <si>
    <t>CPI(H): June - index - final determination</t>
  </si>
  <si>
    <t>PR19 Financial model, 'Index' sheet F61 and 'Index' sheet row 12</t>
  </si>
  <si>
    <t>CPI(H): July - index - final determination</t>
  </si>
  <si>
    <t>PR19 Financial model, 'Index' sheet F62 and 'Index' sheet row 13</t>
  </si>
  <si>
    <t>CPI(H): August - index - final determination</t>
  </si>
  <si>
    <t>PR19 Financial model, 'Index' sheet F63 and 'Index' sheet row 14</t>
  </si>
  <si>
    <t>CPI(H): September - index - final determination</t>
  </si>
  <si>
    <t>PR19 Financial model, 'Index' sheet F64 and 'Index' sheet row 15</t>
  </si>
  <si>
    <t>CPI(H): October - index - final determination</t>
  </si>
  <si>
    <t>PR19 Financial model, 'Index' sheet F65 and 'Index' sheet row 16</t>
  </si>
  <si>
    <t>CPI(H): November - index - final determination</t>
  </si>
  <si>
    <t>PR19 Financial model, 'Index' sheet F66 and 'Index' sheet row 17</t>
  </si>
  <si>
    <t>CPI(H): December - index - final determination</t>
  </si>
  <si>
    <t>PR19 Financial model, 'Index' sheet F67 and 'Index' sheet row 18</t>
  </si>
  <si>
    <t>CPI(H): January - index - final determination</t>
  </si>
  <si>
    <t>PR19 Financial model, 'Index' sheet F68 and 'Index' sheet row 19</t>
  </si>
  <si>
    <t>CPI(H): February - index - final determination</t>
  </si>
  <si>
    <t>PR19 Financial model, 'Index' sheet F69 and 'Index' sheet row 20</t>
  </si>
  <si>
    <t>CPI(H): March - index - final determination</t>
  </si>
  <si>
    <t>PR19 Financial model, 'Index' sheet F70 and 'Index' sheet row 21</t>
  </si>
  <si>
    <t>OUTTURN INFLATION</t>
  </si>
  <si>
    <t>RPI - outturn</t>
  </si>
  <si>
    <t>RPI: April - index - actual (including forecast)</t>
  </si>
  <si>
    <t>ONS, RPI All Items Index: Jan 1987=100</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</si>
  <si>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</si>
  <si>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</si>
  <si>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</si>
  <si>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</si>
  <si>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</si>
  <si>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</si>
  <si>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</si>
  <si>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</si>
  <si>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</si>
  <si>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</si>
  <si>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</si>
  <si>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</si>
  <si>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</si>
  <si>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ONS, CPIH INDEX 00: ALL ITEMS 2015=100</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</si>
  <si>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</si>
  <si>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</si>
  <si>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</si>
  <si>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</si>
  <si>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</si>
  <si>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</si>
  <si>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</si>
  <si>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</si>
  <si>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</si>
  <si>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</si>
  <si>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</si>
  <si>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</si>
  <si>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COMPANY-SPECIFIC INPUTS</t>
  </si>
  <si>
    <t>2020 RCV RPI inflated - initial balance - nominal</t>
  </si>
  <si>
    <t>RCV - CPI(H) + RPI wedge initial balance - nominal - WR</t>
  </si>
  <si>
    <t>£m</t>
  </si>
  <si>
    <t>PR19 Financial model, 'RCV balance summary' sheet cell K23</t>
  </si>
  <si>
    <t>RCV - CPI(H) + RPI wedge initial balance - nominal - WN</t>
  </si>
  <si>
    <t>PR19 Financial model, 'RCV balance summary' sheet cell K93</t>
  </si>
  <si>
    <t>RCV - CPI(H) + RPI wedge initial balance - nominal - WWN</t>
  </si>
  <si>
    <t>//</t>
  </si>
  <si>
    <t>PR19 Financial model, 'RCV balance summary' sheet cell K163</t>
  </si>
  <si>
    <t>RCV - CPI(H) + RPI wedge initial balance - nominal - BR</t>
  </si>
  <si>
    <t>PR19 Financial model, 'RCV balance summary' sheet cell K233</t>
  </si>
  <si>
    <t>RCV - CPI(H) + RPI wedge initial balance - nominal - DMMY</t>
  </si>
  <si>
    <t>PR19 Financial model, 'RCV balance summary' sheet cell K303</t>
  </si>
  <si>
    <t>2020 RCV RPI inflated - run-off rate</t>
  </si>
  <si>
    <t>Run-off rate - CPI(H) + RPI wedge - active - WR</t>
  </si>
  <si>
    <t>%</t>
  </si>
  <si>
    <t>PR19 Financial model, 'F_OutputsMaster' sheet row 953, PR19FM2090POST</t>
  </si>
  <si>
    <t>Run-off rate - CPI(H) + RPI wedge - active - WN</t>
  </si>
  <si>
    <t>PR19 Financial model, 'F_OutputsMaster' sheet row 956, PR19FM2093POST</t>
  </si>
  <si>
    <t>Run-off rate - CPI(H) + RPI wedge - active - WWN</t>
  </si>
  <si>
    <t>PR19 Financial model, 'F_OutputsMaster' sheet row 959, PR19FM2096POST</t>
  </si>
  <si>
    <t>Run-off rate - CPI(H) + RPI wedge - active - BR</t>
  </si>
  <si>
    <t>PR19 Financial model, 'F_OutputsMaster' sheet row 962, PR19FM2099POST</t>
  </si>
  <si>
    <t>Run-off rate - CPI(H) + RPI wedge - active - DMMY</t>
  </si>
  <si>
    <t>PR19 Financial model, 'F_OutputsMaster' sheet row 966, PR19FM2103POST</t>
  </si>
  <si>
    <t>Real RPI based wholesale WACC</t>
  </si>
  <si>
    <t>WACC on RCV - CPI(H) + RPI wedge bf and additions - WR</t>
  </si>
  <si>
    <t>PR19 Financial model, 'Water Resources' sheet row 980</t>
  </si>
  <si>
    <t>WACC on RCV - CPI(H) + RPI wedge bf and additions - WN</t>
  </si>
  <si>
    <t>PR19 Financial model, 'Water Network' sheet row 980</t>
  </si>
  <si>
    <t>WACC on RCV - CPI(H) + RPI wedge bf and additions - WWN</t>
  </si>
  <si>
    <t>PR19 Financial model, 'Wastewater Network' sheet row 980</t>
  </si>
  <si>
    <t>WACC on RCV - CPI(H) + RPI wedge bf and additions - BR</t>
  </si>
  <si>
    <t>PR19 Financial model, 'Bio Resources' sheet row 980</t>
  </si>
  <si>
    <t>WACC on RCV - CPI(H) + RPI wedge bf and additions - DMMY</t>
  </si>
  <si>
    <t>PR19 Financial model, 'Dummy Control' sheet row 980</t>
  </si>
  <si>
    <t>Real CPIH based wholesale WACC</t>
  </si>
  <si>
    <t>WACC real on RCV - CPI(H) bf and additions - WR</t>
  </si>
  <si>
    <t>PR19 Financial model, 'Water Resources' sheet row 860</t>
  </si>
  <si>
    <t>WACC real on RCV - CPI(H) bf and additions - WN</t>
  </si>
  <si>
    <t>PR19 Financial model, 'Water Network' sheet row 860</t>
  </si>
  <si>
    <t>WACC real on RCV - CPI(H) bf and additions - WWN</t>
  </si>
  <si>
    <t>PR19 Financial model, 'Wastewater Network' sheet row 860</t>
  </si>
  <si>
    <t>WACC real on RCV - CPI(H) bf and additions - BR</t>
  </si>
  <si>
    <t>PR19 Financial model, 'Bio Resources' sheet row 860</t>
  </si>
  <si>
    <t>WACC real on RCV - CPI(H) bf and additions - DMMY</t>
  </si>
  <si>
    <t>PR19 Financial model, 'Dummy Control' sheet row 860</t>
  </si>
  <si>
    <t>NON CHANGEABLE INPUTS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</si>
  <si>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</si>
  <si>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</si>
  <si>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</si>
  <si>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</si>
  <si>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</si>
  <si>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</si>
  <si>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</si>
  <si>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</si>
  <si>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</si>
  <si>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</si>
  <si>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</si>
  <si>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</si>
  <si>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</si>
  <si>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</si>
  <si>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</si>
  <si>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</si>
  <si>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</si>
  <si>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</si>
  <si>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</si>
  <si>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</si>
  <si>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</si>
  <si>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</si>
  <si>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</si>
  <si>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</si>
  <si>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</si>
  <si>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</si>
  <si>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</si>
  <si>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</si>
  <si>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</si>
  <si>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</si>
  <si>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</si>
  <si>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</si>
  <si>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</si>
  <si>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</si>
  <si>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</si>
  <si>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</si>
  <si>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</si>
  <si>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</si>
  <si>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</si>
  <si>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</si>
  <si>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</si>
  <si>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</si>
  <si>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</si>
  <si>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</si>
  <si>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</si>
  <si>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</si>
  <si>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</si>
  <si>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</si>
  <si>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</si>
  <si>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</si>
  <si>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</si>
  <si>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</si>
  <si>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</si>
  <si>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</si>
  <si>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</si>
  <si>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</si>
  <si>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</si>
  <si>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</si>
  <si>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</si>
  <si>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</si>
  <si>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</si>
  <si>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</si>
  <si>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</si>
  <si>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</si>
  <si>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</si>
  <si>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</si>
  <si>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</si>
  <si>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</si>
  <si>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</si>
  <si>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</si>
  <si>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</si>
  <si>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</si>
  <si>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</si>
  <si>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</si>
  <si>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</si>
  <si>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</si>
  <si>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</si>
  <si>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</si>
  <si>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</si>
  <si>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</si>
  <si>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</si>
  <si>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</si>
  <si>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</si>
  <si>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</si>
  <si>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</si>
  <si>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</si>
  <si>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</si>
  <si>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</si>
  <si>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</si>
  <si>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</si>
  <si>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</si>
  <si>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</si>
  <si>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</si>
  <si>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</si>
  <si>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</si>
  <si>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</si>
  <si>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</si>
  <si>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</si>
  <si>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</si>
  <si>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</si>
  <si>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</si>
  <si>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</si>
  <si>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</si>
  <si>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</si>
  <si>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</si>
  <si>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</si>
  <si>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</si>
  <si>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</si>
  <si>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</si>
  <si>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</si>
  <si>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</si>
  <si>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</si>
  <si>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</si>
  <si>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</si>
  <si>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</si>
  <si>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</si>
  <si>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</si>
  <si>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</si>
  <si>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</si>
  <si>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Difference RCV average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</si>
  <si>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</si>
  <si>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</si>
  <si>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</si>
  <si>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</si>
  <si>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</si>
  <si>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</si>
  <si>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</si>
  <si>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</si>
  <si>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</si>
  <si>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</si>
  <si>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</si>
  <si>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</si>
  <si>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RCV adjustment at end of period - real -WN</t>
  </si>
  <si>
    <t>Revenue adjustment for RCV run-off - real - WN</t>
  </si>
  <si>
    <t>Revenue adjustment for return - real - WN</t>
  </si>
  <si>
    <t>RCV adjustment at end of period - real - WWN</t>
  </si>
  <si>
    <t>Revenue adjustment for RCV run-off - real - WWN</t>
  </si>
  <si>
    <t>Revenue adjustment for return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</si>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</sst>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5">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xf numFmtId="2" fontId="18" fillId="0" borderId="0" xfId="0" applyNumberFormat="1" applyFont="1" applyAlignment="1">
      <alignment vertical="top"/>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tabSelected="1" zoomScaleNormal="100" workbookViewId="0">
      <pane ySplit="9" topLeftCell="A10" activePane="bottomLeft" state="frozen"/>
      <selection pane="bottomLeft"/>
    </sheetView>
  </sheetViews>
  <sheetFormatPr defaultColWidth="9.1796875" defaultRowHeight="12.5" x14ac:dyDescent="0.25"/>
  <cols>
    <col min="1" max="1" width="30.453125" bestFit="1" customWidth="1"/>
    <col min="2" max="2" width="108" customWidth="1"/>
    <col min="3" max="3" width="20.453125" customWidth="1"/>
  </cols>
  <sheetData>
    <row r="1" spans="1:6" ht="32.5" thickBot="1" x14ac:dyDescent="0.85">
      <c r="A1" s="256" t="str">
        <f ca="1" xml:space="preserve"> RIGHT(CELL("filename", $A$1), LEN(CELL("filename", $A$1)) - SEARCH("]", CELL("filename", $A$1)))</f>
        <v>Cover</v>
      </c>
      <c r="B1" s="256"/>
      <c r="C1" s="256"/>
      <c r="D1" s="256"/>
      <c r="E1" s="256"/>
      <c r="F1" s="256"/>
    </row>
    <row r="2" spans="1:6" ht="4" customHeight="1" x14ac:dyDescent="0.4">
      <c r="A2" s="257"/>
      <c r="B2" s="257"/>
      <c r="C2" s="257"/>
      <c r="D2" s="257"/>
      <c r="E2" s="257"/>
      <c r="F2" s="257"/>
    </row>
    <row r="3" spans="1:6" ht="16" x14ac:dyDescent="0.4">
      <c r="A3" s="258" t="s">
        <v>0</v>
      </c>
      <c r="B3" s="258" t="s">
        <v>1</v>
      </c>
      <c r="C3" s="259"/>
      <c r="D3" s="259"/>
      <c r="E3" s="259"/>
      <c r="F3" s="259"/>
    </row>
    <row r="4" spans="1:6" ht="16" x14ac:dyDescent="0.4">
      <c r="A4" s="258" t="s">
        <v>2</v>
      </c>
      <c r="B4" s="289">
        <v>5</v>
      </c>
      <c r="C4" s="259"/>
      <c r="D4" s="259"/>
      <c r="E4" s="259"/>
      <c r="F4" s="259"/>
    </row>
    <row r="5" spans="1:6" ht="16" x14ac:dyDescent="0.4">
      <c r="A5" s="258" t="s">
        <v>3</v>
      </c>
      <c r="B5" s="289" t="s">
        <v>4</v>
      </c>
      <c r="C5" s="259"/>
      <c r="D5" s="259"/>
      <c r="E5" s="259"/>
      <c r="F5" s="259"/>
    </row>
    <row r="6" spans="1:6" ht="16" x14ac:dyDescent="0.4">
      <c r="A6" s="258" t="s">
        <v>5</v>
      </c>
      <c r="B6" s="293">
        <v>44167</v>
      </c>
      <c r="C6" s="259"/>
      <c r="D6" s="259"/>
      <c r="E6" s="259"/>
      <c r="F6" s="259"/>
    </row>
    <row r="7" spans="1:6" ht="16" x14ac:dyDescent="0.4">
      <c r="A7" s="258" t="s">
        <v>6</v>
      </c>
      <c r="B7" s="258" t="s">
        <v>7</v>
      </c>
      <c r="C7" s="259"/>
      <c r="D7" s="259"/>
      <c r="E7" s="259"/>
      <c r="F7" s="259"/>
    </row>
    <row r="8" spans="1:6" ht="16" x14ac:dyDescent="0.4">
      <c r="A8" s="258" t="s">
        <v>8</v>
      </c>
      <c r="B8" s="258" t="s">
        <v>9</v>
      </c>
      <c r="C8" s="259"/>
      <c r="D8" s="259"/>
      <c r="E8" s="259"/>
      <c r="F8" s="259"/>
    </row>
    <row r="9" spans="1:6" ht="4" customHeight="1" x14ac:dyDescent="0.4">
      <c r="A9" s="258"/>
      <c r="B9" s="258"/>
      <c r="C9" s="258"/>
      <c r="D9" s="258"/>
      <c r="E9" s="258"/>
      <c r="F9" s="258"/>
    </row>
    <row r="11" spans="1:6" ht="15" x14ac:dyDescent="0.25">
      <c r="A11" s="260" t="s">
        <v>10</v>
      </c>
      <c r="B11" s="261" t="s">
        <v>11</v>
      </c>
    </row>
    <row r="12" spans="1:6" ht="15" x14ac:dyDescent="0.25">
      <c r="A12" s="260"/>
      <c r="B12" s="261" t="s">
        <v>12</v>
      </c>
    </row>
    <row r="13" spans="1:6" ht="15" x14ac:dyDescent="0.25">
      <c r="A13" s="260"/>
      <c r="B13" s="261" t="s">
        <v>13</v>
      </c>
    </row>
    <row r="14" spans="1:6" x14ac:dyDescent="0.25">
      <c r="A14" s="261"/>
      <c r="B14" s="261"/>
    </row>
    <row r="15" spans="1:6" ht="15" x14ac:dyDescent="0.25">
      <c r="A15" s="260" t="s">
        <v>14</v>
      </c>
      <c r="B15" s="261"/>
    </row>
    <row r="16" spans="1:6" x14ac:dyDescent="0.25">
      <c r="A16" s="261"/>
      <c r="B16" s="261"/>
    </row>
    <row r="17" spans="1:2" ht="15" x14ac:dyDescent="0.25">
      <c r="A17" s="260" t="s">
        <v>15</v>
      </c>
      <c r="B17" s="261"/>
    </row>
    <row r="18" spans="1:2" x14ac:dyDescent="0.25">
      <c r="A18" s="261"/>
      <c r="B18" s="261"/>
    </row>
    <row r="19" spans="1:2" ht="15" x14ac:dyDescent="0.25">
      <c r="A19" s="260" t="s">
        <v>16</v>
      </c>
      <c r="B19" s="261"/>
    </row>
    <row r="20" spans="1:2" ht="13" x14ac:dyDescent="0.3">
      <c r="A20" s="227" t="s">
        <v>17</v>
      </c>
      <c r="B20" s="261"/>
    </row>
    <row r="21" spans="1:2" x14ac:dyDescent="0.25">
      <c r="A21" s="290" t="s">
        <v>18</v>
      </c>
      <c r="B21" s="290" t="s">
        <v>19</v>
      </c>
    </row>
    <row r="22" spans="1:2" ht="37.5" x14ac:dyDescent="0.25">
      <c r="A22" s="290" t="s">
        <v>20</v>
      </c>
      <c r="B22" s="291" t="s">
        <v>21</v>
      </c>
    </row>
    <row r="23" spans="1:2" x14ac:dyDescent="0.25">
      <c r="B23" s="261"/>
    </row>
    <row r="24" spans="1:2" ht="13" x14ac:dyDescent="0.3">
      <c r="A24" s="227" t="s">
        <v>22</v>
      </c>
      <c r="B24" s="261"/>
    </row>
    <row r="25" spans="1:2" x14ac:dyDescent="0.25">
      <c r="A25" t="s">
        <v>23</v>
      </c>
      <c r="B25" s="261" t="s">
        <v>24</v>
      </c>
    </row>
    <row r="26" spans="1:2" x14ac:dyDescent="0.25">
      <c r="A26" t="s">
        <v>25</v>
      </c>
      <c r="B26" s="261" t="s">
        <v>26</v>
      </c>
    </row>
    <row r="27" spans="1:2" x14ac:dyDescent="0.25">
      <c r="A27" t="s">
        <v>27</v>
      </c>
      <c r="B27" s="261" t="s">
        <v>28</v>
      </c>
    </row>
    <row r="28" spans="1:2" x14ac:dyDescent="0.25">
      <c r="A28" t="s">
        <v>29</v>
      </c>
      <c r="B28" s="261" t="s">
        <v>30</v>
      </c>
    </row>
    <row r="29" spans="1:2" x14ac:dyDescent="0.25">
      <c r="A29" t="s">
        <v>31</v>
      </c>
      <c r="B29" s="261" t="s">
        <v>32</v>
      </c>
    </row>
    <row r="30" spans="1:2" x14ac:dyDescent="0.25">
      <c r="B30" s="261"/>
    </row>
    <row r="31" spans="1:2" ht="13" x14ac:dyDescent="0.3">
      <c r="A31" s="227" t="s">
        <v>33</v>
      </c>
      <c r="B31" s="261"/>
    </row>
    <row r="32" spans="1:2" x14ac:dyDescent="0.25">
      <c r="A32" t="s">
        <v>34</v>
      </c>
      <c r="B32" s="261" t="s">
        <v>35</v>
      </c>
    </row>
    <row r="33" spans="1:3" x14ac:dyDescent="0.25">
      <c r="A33" t="s">
        <v>36</v>
      </c>
      <c r="B33" s="261" t="s">
        <v>37</v>
      </c>
    </row>
    <row r="34" spans="1:3" x14ac:dyDescent="0.25">
      <c r="A34" t="s">
        <v>38</v>
      </c>
      <c r="B34" s="261" t="s">
        <v>39</v>
      </c>
    </row>
    <row r="35" spans="1:3" x14ac:dyDescent="0.25">
      <c r="A35" t="s">
        <v>40</v>
      </c>
      <c r="B35" s="261" t="s">
        <v>41</v>
      </c>
    </row>
    <row r="36" spans="1:3" x14ac:dyDescent="0.25">
      <c r="A36" t="s">
        <v>42</v>
      </c>
      <c r="B36" s="261" t="s">
        <v>43</v>
      </c>
    </row>
    <row r="37" spans="1:3" x14ac:dyDescent="0.25">
      <c r="B37" s="261"/>
    </row>
    <row r="38" spans="1:3" x14ac:dyDescent="0.25">
      <c r="A38" s="261"/>
      <c r="B38" s="261"/>
    </row>
    <row r="39" spans="1:3" ht="15" x14ac:dyDescent="0.25">
      <c r="A39" s="260" t="s">
        <v>44</v>
      </c>
      <c r="B39" s="261"/>
    </row>
    <row r="40" spans="1:3" ht="15" x14ac:dyDescent="0.25">
      <c r="A40" s="260"/>
      <c r="B40" s="261" t="s">
        <v>45</v>
      </c>
    </row>
    <row r="41" spans="1:3" ht="15" x14ac:dyDescent="0.25">
      <c r="A41" s="260"/>
      <c r="B41" s="261" t="s">
        <v>46</v>
      </c>
    </row>
    <row r="42" spans="1:3" ht="15" x14ac:dyDescent="0.25">
      <c r="A42" s="260"/>
      <c r="B42" s="261" t="s">
        <v>47</v>
      </c>
    </row>
    <row r="43" spans="1:3" ht="15" x14ac:dyDescent="0.25">
      <c r="A43" s="260"/>
      <c r="B43" s="261" t="s">
        <v>48</v>
      </c>
    </row>
    <row r="44" spans="1:3" ht="15" x14ac:dyDescent="0.25">
      <c r="A44" s="260"/>
      <c r="B44" s="261" t="s">
        <v>49</v>
      </c>
    </row>
    <row r="45" spans="1:3" ht="15" x14ac:dyDescent="0.25">
      <c r="A45" s="260"/>
      <c r="B45" s="261" t="s">
        <v>50</v>
      </c>
    </row>
    <row r="46" spans="1:3" ht="15" x14ac:dyDescent="0.25">
      <c r="A46" s="260"/>
      <c r="B46" s="261"/>
    </row>
    <row r="47" spans="1:3" ht="13" thickBot="1" x14ac:dyDescent="0.3">
      <c r="A47" s="261"/>
      <c r="B47" s="261"/>
    </row>
    <row r="48" spans="1:3" ht="15.5" thickBot="1" x14ac:dyDescent="0.3">
      <c r="A48" s="260" t="s">
        <v>51</v>
      </c>
      <c r="B48" s="261"/>
      <c r="C48" s="262" t="s">
        <v>52</v>
      </c>
    </row>
    <row r="49" spans="1:6" ht="15" x14ac:dyDescent="0.25">
      <c r="A49" s="260"/>
      <c r="B49" t="s">
        <v>53</v>
      </c>
      <c r="C49" s="29" t="e">
        <f xml:space="preserve"> Checks!$F$9</f>
        <v>#VALUE!</v>
      </c>
    </row>
    <row r="51" spans="1:6" ht="13.5" x14ac:dyDescent="0.35">
      <c r="A51" s="263" t="s">
        <v>54</v>
      </c>
      <c r="B51" s="263"/>
      <c r="C51" s="263"/>
      <c r="D51" s="263"/>
      <c r="E51" s="263"/>
      <c r="F51" s="263"/>
    </row>
  </sheetData>
  <conditionalFormatting sqref="C49">
    <cfRule type="cellIs" dxfId="77" priority="5" stopIfTrue="1" operator="notEqual">
      <formula>0</formula>
    </cfRule>
    <cfRule type="cellIs" dxfId="76"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t="str">
        <f xml:space="preserve"> InpR!M$97</f>
        <v>//</v>
      </c>
      <c r="N26" s="205">
        <f xml:space="preserve"> InpR!N$97</f>
        <v>0</v>
      </c>
      <c r="O26" s="205">
        <f xml:space="preserve"> InpR!O$97</f>
        <v>0</v>
      </c>
      <c r="P26" s="205">
        <f xml:space="preserve"> InpR!P$97</f>
        <v>0</v>
      </c>
      <c r="Q26" s="205">
        <f xml:space="preserve"> InpR!Q$97</f>
        <v>0</v>
      </c>
      <c r="R26" s="205">
        <f xml:space="preserve"> InpR!R$97</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InpR!$E$90</f>
        <v>RCV - CPI(H) + RPI wedge initial balance - nominal - BR</v>
      </c>
      <c r="F31" s="250" t="str">
        <f>InpR!$F$90</f>
        <v>//</v>
      </c>
      <c r="G31" s="249" t="str">
        <f>InpR!$G$90</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0</v>
      </c>
      <c r="N45" s="205">
        <f xml:space="preserve"> InpR!N$104</f>
        <v>0</v>
      </c>
      <c r="O45" s="205">
        <f xml:space="preserve"> InpR!O$104</f>
        <v>0</v>
      </c>
      <c r="P45" s="205">
        <f xml:space="preserve"> InpR!P$104</f>
        <v>0</v>
      </c>
      <c r="Q45" s="205">
        <f xml:space="preserve"> InpR!Q$104</f>
        <v>0</v>
      </c>
      <c r="R45" s="205">
        <f xml:space="preserve"> InpR!R$104</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3.5095772489963428E-2</v>
      </c>
      <c r="Q69" s="205">
        <f>Index!Q$135</f>
        <v>1.0811774265832685E-2</v>
      </c>
      <c r="R69" s="205">
        <f>Index!R$135</f>
        <v>3.0969307070667251E-2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5.6068271839316841E-2</v>
      </c>
      <c r="Q70" s="172">
        <f t="shared" si="26"/>
        <v>3.1820802412407367E-2</v>
      </c>
      <c r="R70" s="172">
        <f t="shared" si="26"/>
        <v>5.0963481504755381E-2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5.6068271839316841E-2</v>
      </c>
      <c r="Q74" s="172">
        <f t="shared" si="28"/>
        <v>3.1820802412407367E-2</v>
      </c>
      <c r="R74" s="172">
        <f t="shared" si="28"/>
        <v>5.0963481504755381E-2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t="str">
        <f xml:space="preserve"> InpR!M$97</f>
        <v>//</v>
      </c>
      <c r="N77" s="205">
        <f xml:space="preserve"> InpR!N$97</f>
        <v>0</v>
      </c>
      <c r="O77" s="205">
        <f xml:space="preserve"> InpR!O$97</f>
        <v>0</v>
      </c>
      <c r="P77" s="205">
        <f xml:space="preserve"> InpR!P$97</f>
        <v>0</v>
      </c>
      <c r="Q77" s="205">
        <f xml:space="preserve"> InpR!Q$97</f>
        <v>0</v>
      </c>
      <c r="R77" s="205">
        <f xml:space="preserve"> InpR!R$97</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InpR!$E$90</f>
        <v>RCV - CPI(H) + RPI wedge initial balance - nominal - BR</v>
      </c>
      <c r="F82" s="250" t="str">
        <f>InpR!$F$90</f>
        <v>//</v>
      </c>
      <c r="G82" s="249" t="str">
        <f>InpR!$G$90</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0</v>
      </c>
      <c r="N96" s="205">
        <f xml:space="preserve"> InpR!N$104</f>
        <v>0</v>
      </c>
      <c r="O96" s="205">
        <f xml:space="preserve"> InpR!O$104</f>
        <v>0</v>
      </c>
      <c r="P96" s="205">
        <f xml:space="preserve"> InpR!P$104</f>
        <v>0</v>
      </c>
      <c r="Q96" s="205">
        <f xml:space="preserve"> InpR!Q$104</f>
        <v>0</v>
      </c>
      <c r="R96" s="205">
        <f xml:space="preserve"> InpR!R$104</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t="str">
        <f xml:space="preserve"> InpR!M$97</f>
        <v>//</v>
      </c>
      <c r="N132" s="205">
        <f xml:space="preserve"> InpR!N$97</f>
        <v>0</v>
      </c>
      <c r="O132" s="205">
        <f xml:space="preserve"> InpR!O$97</f>
        <v>0</v>
      </c>
      <c r="P132" s="205">
        <f xml:space="preserve"> InpR!P$97</f>
        <v>0</v>
      </c>
      <c r="Q132" s="205">
        <f xml:space="preserve"> InpR!Q$97</f>
        <v>0</v>
      </c>
      <c r="R132" s="205">
        <f xml:space="preserve"> InpR!R$97</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InpR!$E$90</f>
        <v>RCV - CPI(H) + RPI wedge initial balance - nominal - BR</v>
      </c>
      <c r="F137" s="250" t="str">
        <f>InpR!$F$90</f>
        <v>//</v>
      </c>
      <c r="G137" s="249" t="str">
        <f>InpR!$G$90</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0</v>
      </c>
      <c r="N150" s="205">
        <f xml:space="preserve"> InpR!N$104</f>
        <v>0</v>
      </c>
      <c r="O150" s="205">
        <f xml:space="preserve"> InpR!O$104</f>
        <v>0</v>
      </c>
      <c r="P150" s="205">
        <f xml:space="preserve"> InpR!P$104</f>
        <v>0</v>
      </c>
      <c r="Q150" s="205">
        <f xml:space="preserve"> InpR!Q$104</f>
        <v>0</v>
      </c>
      <c r="R150" s="205">
        <f xml:space="preserve"> InpR!R$104</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419</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0</v>
      </c>
      <c r="N210" s="205">
        <f>InpR!N$111</f>
        <v>0</v>
      </c>
      <c r="O210" s="205">
        <f>InpR!O$111</f>
        <v>0</v>
      </c>
      <c r="P210" s="205">
        <f>InpR!P$111</f>
        <v>0</v>
      </c>
      <c r="Q210" s="205">
        <f>InpR!Q$111</f>
        <v>0</v>
      </c>
      <c r="R210" s="205">
        <f>InpR!R$111</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420</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421</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31" priority="4" stopIfTrue="1" operator="notEqual">
      <formula>0</formula>
    </cfRule>
    <cfRule type="cellIs" dxfId="30" priority="5" stopIfTrue="1" operator="equal">
      <formula>""</formula>
    </cfRule>
  </conditionalFormatting>
  <conditionalFormatting sqref="F165">
    <cfRule type="cellIs" dxfId="29" priority="2" stopIfTrue="1" operator="notEqual">
      <formula>0</formula>
    </cfRule>
    <cfRule type="cellIs" dxfId="28" priority="3" stopIfTrue="1" operator="equal">
      <formula>""</formula>
    </cfRule>
  </conditionalFormatting>
  <conditionalFormatting sqref="J3:Z3">
    <cfRule type="cellIs" dxfId="27" priority="8" operator="equal">
      <formula>"Post-Fcst"</formula>
    </cfRule>
    <cfRule type="cellIs" dxfId="26" priority="9" operator="equal">
      <formula>"Forecast"</formula>
    </cfRule>
    <cfRule type="cellIs" dxfId="25" priority="10" operator="equal">
      <formula>"Pre Fcst"</formula>
    </cfRule>
  </conditionalFormatting>
  <conditionalFormatting sqref="J165:XFD165">
    <cfRule type="cellIs" dxfId="24" priority="6" stopIfTrue="1" operator="notEqual">
      <formula>0</formula>
    </cfRule>
    <cfRule type="cellIs" dxfId="23"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17" activePane="bottomRight" state="frozen"/>
      <selection pane="topRight"/>
      <selection pane="bottomLeft"/>
      <selection pane="bottomRight" activeCell="F26" sqref="F26"/>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t="str">
        <f xml:space="preserve"> InpR!M$98</f>
        <v>//</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DMMY</v>
      </c>
      <c r="F31" s="250" t="str">
        <f>InpR!$F$91</f>
        <v>//</v>
      </c>
      <c r="G31" s="249"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3.5095772489963428E-2</v>
      </c>
      <c r="Q69" s="205">
        <f>Index!Q$135</f>
        <v>1.0811774265832685E-2</v>
      </c>
      <c r="R69" s="205">
        <f>Index!R$135</f>
        <v>3.0969307070667251E-2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5.6068271839316841E-2</v>
      </c>
      <c r="Q70" s="172">
        <f t="shared" si="26"/>
        <v>3.1820802412407367E-2</v>
      </c>
      <c r="R70" s="172">
        <f t="shared" si="26"/>
        <v>5.0963481504755381E-2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5.6068271839316841E-2</v>
      </c>
      <c r="Q74" s="172">
        <f t="shared" si="28"/>
        <v>3.1820802412407367E-2</v>
      </c>
      <c r="R74" s="172">
        <f t="shared" si="28"/>
        <v>5.0963481504755381E-2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t="str">
        <f xml:space="preserve"> InpR!M$98</f>
        <v>//</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DMMY</v>
      </c>
      <c r="F82" s="250" t="str">
        <f>InpR!$F$91</f>
        <v>//</v>
      </c>
      <c r="G82" s="249"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t="str">
        <f xml:space="preserve"> InpR!M$98</f>
        <v>//</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DMMY</v>
      </c>
      <c r="F137" s="250" t="str">
        <f>InpR!$F$91</f>
        <v>//</v>
      </c>
      <c r="G137" s="249"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422</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423</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424</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22" priority="4" stopIfTrue="1" operator="notEqual">
      <formula>0</formula>
    </cfRule>
    <cfRule type="cellIs" dxfId="21" priority="5" stopIfTrue="1" operator="equal">
      <formula>""</formula>
    </cfRule>
  </conditionalFormatting>
  <conditionalFormatting sqref="F165">
    <cfRule type="cellIs" dxfId="20" priority="2" stopIfTrue="1" operator="notEqual">
      <formula>0</formula>
    </cfRule>
    <cfRule type="cellIs" dxfId="19" priority="3" stopIfTrue="1" operator="equal">
      <formula>""</formula>
    </cfRule>
  </conditionalFormatting>
  <conditionalFormatting sqref="J3:Z3">
    <cfRule type="cellIs" dxfId="18" priority="8" operator="equal">
      <formula>"Post-Fcst"</formula>
    </cfRule>
    <cfRule type="cellIs" dxfId="17" priority="9" operator="equal">
      <formula>"Forecast"</formula>
    </cfRule>
    <cfRule type="cellIs" dxfId="16" priority="10" operator="equal">
      <formula>"Pre Fcst"</formula>
    </cfRule>
  </conditionalFormatting>
  <conditionalFormatting sqref="J165:XFD165">
    <cfRule type="cellIs" dxfId="15" priority="6" stopIfTrue="1" operator="notEqual">
      <formula>0</formula>
    </cfRule>
    <cfRule type="cellIs" dxfId="14"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opLeftCell="D1" zoomScaleNormal="100" workbookViewId="0">
      <selection activeCell="H15" sqref="H14:H15"/>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53.26953125" style="7" customWidth="1"/>
    <col min="6" max="6" width="12.54296875" style="7" customWidth="1"/>
    <col min="7" max="7" width="10.81640625" style="7" bestFit="1" customWidth="1"/>
    <col min="8" max="8" width="11.54296875" style="7" customWidth="1"/>
    <col min="9" max="9" width="2.54296875" style="7" customWidth="1"/>
    <col min="10" max="11" width="11.54296875" style="7" customWidth="1"/>
    <col min="12" max="12" width="13" style="7" customWidth="1"/>
    <col min="13"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425</v>
      </c>
    </row>
    <row r="8" spans="1:26" s="92" customFormat="1" x14ac:dyDescent="0.25">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2.8562487568820742</v>
      </c>
      <c r="R8" s="281">
        <f>'Calcs-WR'!R$178</f>
        <v>0</v>
      </c>
    </row>
    <row r="9" spans="1:26" s="92" customFormat="1" x14ac:dyDescent="0.25">
      <c r="A9" s="164"/>
      <c r="B9" s="165"/>
      <c r="C9" s="166"/>
      <c r="D9" s="167"/>
      <c r="E9" s="30" t="str">
        <f>'Calcs-WR'!E$216</f>
        <v>Revenue adjustment for RCV run-off - real - WR</v>
      </c>
      <c r="F9" s="249"/>
      <c r="G9" s="249" t="str">
        <f>'Calcs-WR'!G$216</f>
        <v>£m</v>
      </c>
      <c r="H9" s="281">
        <f>'Calcs-WR'!H$216</f>
        <v>0.92695233163589974</v>
      </c>
      <c r="I9" s="281"/>
      <c r="J9" s="281">
        <f>'Calcs-WR'!J$216</f>
        <v>0</v>
      </c>
      <c r="K9" s="281">
        <f>'Calcs-WR'!K$216</f>
        <v>0</v>
      </c>
      <c r="L9" s="281">
        <f>'Calcs-WR'!L$216</f>
        <v>0</v>
      </c>
      <c r="M9" s="281">
        <f>'Calcs-WR'!M$216</f>
        <v>-1.9436826738302812E-2</v>
      </c>
      <c r="N9" s="281">
        <f>'Calcs-WR'!N$216</f>
        <v>3.6237689149699215E-2</v>
      </c>
      <c r="O9" s="281">
        <f>'Calcs-WR'!O$216</f>
        <v>0.16299813194803306</v>
      </c>
      <c r="P9" s="281">
        <f>'Calcs-WR'!P$216</f>
        <v>0.2448185519455004</v>
      </c>
      <c r="Q9" s="281">
        <f>'Calcs-WR'!Q$216</f>
        <v>0.22179768687482726</v>
      </c>
      <c r="R9" s="281">
        <f>'Calcs-WR'!R$216</f>
        <v>0.28053709845614261</v>
      </c>
    </row>
    <row r="10" spans="1:26" s="92" customFormat="1" x14ac:dyDescent="0.25">
      <c r="A10" s="164"/>
      <c r="B10" s="165"/>
      <c r="C10" s="166"/>
      <c r="D10" s="167"/>
      <c r="E10" s="30" t="str">
        <f>'Calcs-WR'!E$221</f>
        <v>Revenue adjustment for return - real -WR</v>
      </c>
      <c r="F10" s="249"/>
      <c r="G10" s="249" t="str">
        <f>'Calcs-WR'!G$221</f>
        <v>£m</v>
      </c>
      <c r="H10" s="281">
        <f>'Calcs-WR'!H$221</f>
        <v>0.15982761794550646</v>
      </c>
      <c r="I10" s="281"/>
      <c r="J10" s="281">
        <f>'Calcs-WR'!J$221</f>
        <v>0</v>
      </c>
      <c r="K10" s="281">
        <f>'Calcs-WR'!K$221</f>
        <v>0</v>
      </c>
      <c r="L10" s="281">
        <f>'Calcs-WR'!L$221</f>
        <v>0</v>
      </c>
      <c r="M10" s="281">
        <f>'Calcs-WR'!M$221</f>
        <v>-4.8057990569330888E-3</v>
      </c>
      <c r="N10" s="281">
        <f>'Calcs-WR'!N$221</f>
        <v>8.9598500149137231E-3</v>
      </c>
      <c r="O10" s="281">
        <f>'Calcs-WR'!O$221</f>
        <v>4.0301654140593182E-2</v>
      </c>
      <c r="P10" s="281">
        <f>'Calcs-WR'!P$221</f>
        <v>6.0531936714796772E-2</v>
      </c>
      <c r="Q10" s="281">
        <f>'Calcs-WR'!Q$221</f>
        <v>5.483997613213587E-2</v>
      </c>
      <c r="R10" s="281">
        <f>'Calcs-WR'!R$221</f>
        <v>0</v>
      </c>
    </row>
    <row r="11" spans="1:26" s="92" customFormat="1" x14ac:dyDescent="0.25">
      <c r="A11" s="164"/>
      <c r="B11" s="165"/>
      <c r="C11" s="166"/>
      <c r="D11" s="167"/>
      <c r="E11" s="30"/>
      <c r="F11" s="249"/>
      <c r="G11" s="249"/>
      <c r="H11" s="281"/>
      <c r="I11" s="281"/>
      <c r="J11" s="281"/>
      <c r="K11" s="281"/>
      <c r="L11" s="281"/>
      <c r="M11" s="281"/>
      <c r="N11" s="281"/>
      <c r="O11" s="281"/>
      <c r="P11" s="281"/>
      <c r="Q11" s="281"/>
      <c r="R11" s="281"/>
    </row>
    <row r="12" spans="1:26" x14ac:dyDescent="0.25">
      <c r="B12" s="61" t="s">
        <v>426</v>
      </c>
    </row>
    <row r="13" spans="1:26" s="92" customFormat="1" x14ac:dyDescent="0.25">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27.745818819563965</v>
      </c>
      <c r="R13" s="281">
        <f>'Calcs-WN'!R$178</f>
        <v>0</v>
      </c>
    </row>
    <row r="14" spans="1:26" s="92" customFormat="1" x14ac:dyDescent="0.25">
      <c r="A14" s="164"/>
      <c r="B14" s="165"/>
      <c r="C14" s="166"/>
      <c r="D14" s="167"/>
      <c r="E14" s="30" t="str">
        <f>'Calcs-WN'!E$216</f>
        <v>Revenue adjustment for RCV run-off - real - WN</v>
      </c>
      <c r="F14" s="249"/>
      <c r="G14" s="249" t="str">
        <f>'Calcs-WN'!G$216</f>
        <v>£m</v>
      </c>
      <c r="H14" s="281">
        <f>'Calcs-WN'!H$216</f>
        <v>4.5466218739798894</v>
      </c>
      <c r="I14" s="281"/>
      <c r="J14" s="281">
        <f>'Calcs-WN'!J$216</f>
        <v>0</v>
      </c>
      <c r="K14" s="281">
        <f>'Calcs-WN'!K$216</f>
        <v>0</v>
      </c>
      <c r="L14" s="281">
        <f>'Calcs-WN'!L$216</f>
        <v>0</v>
      </c>
      <c r="M14" s="281">
        <f>'Calcs-WN'!M$216</f>
        <v>-8.2910670730699479E-2</v>
      </c>
      <c r="N14" s="281">
        <f>'Calcs-WN'!N$216</f>
        <v>0.16056287706439853</v>
      </c>
      <c r="O14" s="281">
        <f>'Calcs-WN'!O$216</f>
        <v>0.75018237154773537</v>
      </c>
      <c r="P14" s="281">
        <f>'Calcs-WN'!P$216</f>
        <v>1.1703833456958779</v>
      </c>
      <c r="Q14" s="281">
        <f>'Calcs-WN'!Q$216</f>
        <v>1.1013881564313479</v>
      </c>
      <c r="R14" s="281">
        <f>'Calcs-WN'!R$216</f>
        <v>1.4470157939712287</v>
      </c>
    </row>
    <row r="15" spans="1:26" s="92" customFormat="1" x14ac:dyDescent="0.25">
      <c r="A15" s="164"/>
      <c r="B15" s="165"/>
      <c r="C15" s="166"/>
      <c r="D15" s="167"/>
      <c r="E15" s="30" t="str">
        <f>'Calcs-WN'!E$221</f>
        <v>Revenue adjustment for return - real - WN</v>
      </c>
      <c r="F15" s="249"/>
      <c r="G15" s="249" t="str">
        <f>'Calcs-WN'!G$221</f>
        <v>£m</v>
      </c>
      <c r="H15" s="281">
        <f>'Calcs-WN'!H$221</f>
        <v>1.4992183069614791</v>
      </c>
      <c r="I15" s="281"/>
      <c r="J15" s="281">
        <f>'Calcs-WN'!J$221</f>
        <v>0</v>
      </c>
      <c r="K15" s="281">
        <f>'Calcs-WN'!K$221</f>
        <v>0</v>
      </c>
      <c r="L15" s="281">
        <f>'Calcs-WN'!L$221</f>
        <v>0</v>
      </c>
      <c r="M15" s="281">
        <f>'Calcs-WN'!M$221</f>
        <v>-4.0102255639392161E-2</v>
      </c>
      <c r="N15" s="281">
        <f>'Calcs-WN'!N$221</f>
        <v>7.766109579727104E-2</v>
      </c>
      <c r="O15" s="281">
        <f>'Calcs-WN'!O$221</f>
        <v>0.36284841233147919</v>
      </c>
      <c r="P15" s="281">
        <f>'Calcs-WN'!P$221</f>
        <v>0.56609133313649318</v>
      </c>
      <c r="Q15" s="281">
        <f>'Calcs-WN'!Q$221</f>
        <v>0.53271972133562784</v>
      </c>
      <c r="R15" s="281">
        <f>'Calcs-WN'!R$221</f>
        <v>0</v>
      </c>
    </row>
    <row r="16" spans="1:26" s="92" customFormat="1" x14ac:dyDescent="0.25">
      <c r="A16" s="164"/>
      <c r="B16" s="165"/>
      <c r="C16" s="166"/>
      <c r="D16" s="167"/>
      <c r="E16" s="30"/>
      <c r="F16" s="249"/>
      <c r="G16" s="249"/>
      <c r="H16" s="281"/>
      <c r="I16" s="281"/>
      <c r="J16" s="281"/>
      <c r="K16" s="281"/>
      <c r="L16" s="281"/>
      <c r="M16" s="281"/>
      <c r="N16" s="281"/>
      <c r="O16" s="281"/>
      <c r="P16" s="281"/>
      <c r="Q16" s="281"/>
      <c r="R16" s="281"/>
    </row>
    <row r="17" spans="1:18" x14ac:dyDescent="0.25">
      <c r="B17" s="61" t="s">
        <v>427</v>
      </c>
    </row>
    <row r="18" spans="1:18" s="92" customFormat="1" x14ac:dyDescent="0.25">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t="e">
        <f>'Calcs-WWN'!L$178</f>
        <v>#VALUE!</v>
      </c>
      <c r="M18" s="281" t="e">
        <f>'Calcs-WWN'!M$178</f>
        <v>#VALUE!</v>
      </c>
      <c r="N18" s="281" t="e">
        <f>'Calcs-WWN'!N$178</f>
        <v>#VALUE!</v>
      </c>
      <c r="O18" s="281" t="e">
        <f>'Calcs-WWN'!O$178</f>
        <v>#VALUE!</v>
      </c>
      <c r="P18" s="281" t="e">
        <f>'Calcs-WWN'!P$178</f>
        <v>#VALUE!</v>
      </c>
      <c r="Q18" s="281" t="e">
        <f>'Calcs-WWN'!Q$178</f>
        <v>#VALUE!</v>
      </c>
      <c r="R18" s="281" t="e">
        <f>'Calcs-WWN'!R$178</f>
        <v>#VALUE!</v>
      </c>
    </row>
    <row r="19" spans="1:18" s="92" customFormat="1" x14ac:dyDescent="0.25">
      <c r="A19" s="164"/>
      <c r="B19" s="165"/>
      <c r="C19" s="166"/>
      <c r="D19" s="167"/>
      <c r="E19" s="30" t="str">
        <f>'Calcs-WWN'!E$216</f>
        <v>Revenue adjustment for RCV run-off - real - WWN</v>
      </c>
      <c r="F19" s="249"/>
      <c r="G19" s="249" t="str">
        <f>'Calcs-WWN'!G$216</f>
        <v>£m</v>
      </c>
      <c r="H19" s="281" t="e">
        <f>'Calcs-WWN'!H$216</f>
        <v>#VALUE!</v>
      </c>
      <c r="I19" s="281"/>
      <c r="J19" s="281">
        <f>'Calcs-WWN'!J$216</f>
        <v>0</v>
      </c>
      <c r="K19" s="281">
        <f>'Calcs-WWN'!K$216</f>
        <v>0</v>
      </c>
      <c r="L19" s="281">
        <f>'Calcs-WWN'!L$216</f>
        <v>0</v>
      </c>
      <c r="M19" s="281" t="e">
        <f>'Calcs-WWN'!M$216</f>
        <v>#VALUE!</v>
      </c>
      <c r="N19" s="281" t="e">
        <f>'Calcs-WWN'!N$216</f>
        <v>#VALUE!</v>
      </c>
      <c r="O19" s="281" t="e">
        <f>'Calcs-WWN'!O$216</f>
        <v>#VALUE!</v>
      </c>
      <c r="P19" s="281" t="e">
        <f>'Calcs-WWN'!P$216</f>
        <v>#VALUE!</v>
      </c>
      <c r="Q19" s="281" t="e">
        <f>'Calcs-WWN'!Q$216</f>
        <v>#VALUE!</v>
      </c>
      <c r="R19" s="281" t="e">
        <f>'Calcs-WWN'!R$216</f>
        <v>#VALUE!</v>
      </c>
    </row>
    <row r="20" spans="1:18" s="92" customFormat="1" x14ac:dyDescent="0.25">
      <c r="A20" s="164"/>
      <c r="B20" s="165"/>
      <c r="C20" s="166"/>
      <c r="D20" s="167"/>
      <c r="E20" s="30" t="str">
        <f>'Calcs-WWN'!E$221</f>
        <v>Revenue adjustment for return - real - WWN</v>
      </c>
      <c r="F20" s="249"/>
      <c r="G20" s="249" t="str">
        <f>'Calcs-WWN'!G$221</f>
        <v>£m</v>
      </c>
      <c r="H20" s="281" t="e">
        <f>'Calcs-WWN'!H$221</f>
        <v>#VALUE!</v>
      </c>
      <c r="I20" s="281"/>
      <c r="J20" s="281">
        <f>'Calcs-WWN'!J$221</f>
        <v>0</v>
      </c>
      <c r="K20" s="281">
        <f>'Calcs-WWN'!K$221</f>
        <v>0</v>
      </c>
      <c r="L20" s="281" t="e">
        <f>'Calcs-WWN'!L$221</f>
        <v>#VALUE!</v>
      </c>
      <c r="M20" s="281" t="e">
        <f>'Calcs-WWN'!M$221</f>
        <v>#VALUE!</v>
      </c>
      <c r="N20" s="281" t="e">
        <f>'Calcs-WWN'!N$221</f>
        <v>#VALUE!</v>
      </c>
      <c r="O20" s="281" t="e">
        <f>'Calcs-WWN'!O$221</f>
        <v>#VALUE!</v>
      </c>
      <c r="P20" s="281" t="e">
        <f>'Calcs-WWN'!P$221</f>
        <v>#VALUE!</v>
      </c>
      <c r="Q20" s="281" t="e">
        <f>'Calcs-WWN'!Q$221</f>
        <v>#VALUE!</v>
      </c>
      <c r="R20" s="281" t="e">
        <f>'Calcs-WWN'!R$221</f>
        <v>#VALUE!</v>
      </c>
    </row>
    <row r="21" spans="1:18" s="92" customFormat="1" x14ac:dyDescent="0.25">
      <c r="A21" s="164"/>
      <c r="B21" s="165"/>
      <c r="C21" s="166"/>
      <c r="D21" s="167"/>
      <c r="E21" s="30"/>
      <c r="F21" s="249"/>
      <c r="G21" s="249"/>
      <c r="H21" s="281"/>
      <c r="I21" s="281"/>
      <c r="J21" s="281"/>
      <c r="K21" s="281"/>
      <c r="L21" s="281"/>
      <c r="M21" s="281"/>
      <c r="N21" s="281"/>
      <c r="O21" s="281"/>
      <c r="P21" s="281"/>
      <c r="Q21" s="281"/>
      <c r="R21" s="281"/>
    </row>
    <row r="22" spans="1:18" x14ac:dyDescent="0.25">
      <c r="B22" s="61" t="s">
        <v>428</v>
      </c>
    </row>
    <row r="23" spans="1:18" s="92" customFormat="1" x14ac:dyDescent="0.25">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t="e">
        <f>'Calcs-BR'!L$178</f>
        <v>#VALUE!</v>
      </c>
      <c r="M23" s="281" t="e">
        <f>'Calcs-BR'!M$178</f>
        <v>#VALUE!</v>
      </c>
      <c r="N23" s="281" t="e">
        <f>'Calcs-BR'!N$178</f>
        <v>#VALUE!</v>
      </c>
      <c r="O23" s="281" t="e">
        <f>'Calcs-BR'!O$178</f>
        <v>#VALUE!</v>
      </c>
      <c r="P23" s="281" t="e">
        <f>'Calcs-BR'!P$178</f>
        <v>#VALUE!</v>
      </c>
      <c r="Q23" s="281" t="e">
        <f>'Calcs-BR'!Q$178</f>
        <v>#VALUE!</v>
      </c>
      <c r="R23" s="281" t="e">
        <f>'Calcs-BR'!R$178</f>
        <v>#VALUE!</v>
      </c>
    </row>
    <row r="24" spans="1:18" s="92" customFormat="1" x14ac:dyDescent="0.25">
      <c r="A24" s="164"/>
      <c r="B24" s="165"/>
      <c r="C24" s="166"/>
      <c r="D24" s="167"/>
      <c r="E24" s="30" t="str">
        <f>'Calcs-BR'!E$216</f>
        <v>Revenue adjustment for RCV run-off - real - BR</v>
      </c>
      <c r="F24" s="249"/>
      <c r="G24" s="249" t="str">
        <f>'Calcs-BR'!G$216</f>
        <v>£m</v>
      </c>
      <c r="H24" s="281" t="e">
        <f>'Calcs-BR'!H$216</f>
        <v>#VALUE!</v>
      </c>
      <c r="I24" s="281"/>
      <c r="J24" s="281">
        <f>'Calcs-BR'!J$216</f>
        <v>0</v>
      </c>
      <c r="K24" s="281">
        <f>'Calcs-BR'!K$216</f>
        <v>0</v>
      </c>
      <c r="L24" s="281">
        <f>'Calcs-BR'!L$216</f>
        <v>0</v>
      </c>
      <c r="M24" s="281" t="e">
        <f>'Calcs-BR'!M$216</f>
        <v>#VALUE!</v>
      </c>
      <c r="N24" s="281" t="e">
        <f>'Calcs-BR'!N$216</f>
        <v>#VALUE!</v>
      </c>
      <c r="O24" s="281" t="e">
        <f>'Calcs-BR'!O$216</f>
        <v>#VALUE!</v>
      </c>
      <c r="P24" s="281" t="e">
        <f>'Calcs-BR'!P$216</f>
        <v>#VALUE!</v>
      </c>
      <c r="Q24" s="281" t="e">
        <f>'Calcs-BR'!Q$216</f>
        <v>#VALUE!</v>
      </c>
      <c r="R24" s="281" t="e">
        <f>'Calcs-BR'!R$216</f>
        <v>#VALUE!</v>
      </c>
    </row>
    <row r="25" spans="1:18" s="92" customFormat="1" x14ac:dyDescent="0.25">
      <c r="A25" s="164"/>
      <c r="B25" s="165"/>
      <c r="C25" s="166"/>
      <c r="D25" s="167"/>
      <c r="E25" s="30" t="str">
        <f>'Calcs-BR'!E$221</f>
        <v>Revenue adjustment for return - real - BR</v>
      </c>
      <c r="F25" s="249"/>
      <c r="G25" s="249" t="str">
        <f>'Calcs-BR'!G$221</f>
        <v>£m</v>
      </c>
      <c r="H25" s="281" t="e">
        <f>'Calcs-BR'!H$221</f>
        <v>#VALUE!</v>
      </c>
      <c r="I25" s="281"/>
      <c r="J25" s="281">
        <f>'Calcs-BR'!J$221</f>
        <v>0</v>
      </c>
      <c r="K25" s="281">
        <f>'Calcs-BR'!K$221</f>
        <v>0</v>
      </c>
      <c r="L25" s="281" t="e">
        <f>'Calcs-BR'!L$221</f>
        <v>#VALUE!</v>
      </c>
      <c r="M25" s="281" t="e">
        <f>'Calcs-BR'!M$221</f>
        <v>#VALUE!</v>
      </c>
      <c r="N25" s="281" t="e">
        <f>'Calcs-BR'!N$221</f>
        <v>#VALUE!</v>
      </c>
      <c r="O25" s="281" t="e">
        <f>'Calcs-BR'!O$221</f>
        <v>#VALUE!</v>
      </c>
      <c r="P25" s="281" t="e">
        <f>'Calcs-BR'!P$221</f>
        <v>#VALUE!</v>
      </c>
      <c r="Q25" s="281" t="e">
        <f>'Calcs-BR'!Q$221</f>
        <v>#VALUE!</v>
      </c>
      <c r="R25" s="281" t="e">
        <f>'Calcs-BR'!R$221</f>
        <v>#VALUE!</v>
      </c>
    </row>
    <row r="26" spans="1:18" s="92" customFormat="1" x14ac:dyDescent="0.25">
      <c r="A26" s="164"/>
      <c r="B26" s="165"/>
      <c r="C26" s="166"/>
      <c r="D26" s="167"/>
      <c r="E26" s="30"/>
      <c r="F26" s="249"/>
      <c r="G26" s="249"/>
      <c r="H26" s="281"/>
      <c r="I26" s="281"/>
      <c r="J26" s="281"/>
      <c r="K26" s="281"/>
      <c r="L26" s="281"/>
      <c r="M26" s="281"/>
      <c r="N26" s="281"/>
      <c r="O26" s="281"/>
      <c r="P26" s="281"/>
      <c r="Q26" s="281"/>
      <c r="R26" s="281"/>
    </row>
    <row r="27" spans="1:18" x14ac:dyDescent="0.25">
      <c r="B27" s="61" t="s">
        <v>429</v>
      </c>
    </row>
    <row r="28" spans="1:18" s="92" customFormat="1" x14ac:dyDescent="0.25">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t="e">
        <f>'Calcs-DMMY'!L$178</f>
        <v>#VALUE!</v>
      </c>
      <c r="M28" s="281" t="e">
        <f>'Calcs-DMMY'!M$178</f>
        <v>#VALUE!</v>
      </c>
      <c r="N28" s="281" t="e">
        <f>'Calcs-DMMY'!N$178</f>
        <v>#VALUE!</v>
      </c>
      <c r="O28" s="281" t="e">
        <f>'Calcs-DMMY'!O$178</f>
        <v>#VALUE!</v>
      </c>
      <c r="P28" s="281" t="e">
        <f>'Calcs-DMMY'!P$178</f>
        <v>#VALUE!</v>
      </c>
      <c r="Q28" s="281" t="e">
        <f>'Calcs-DMMY'!Q$178</f>
        <v>#VALUE!</v>
      </c>
      <c r="R28" s="281" t="e">
        <f>'Calcs-DMMY'!R$178</f>
        <v>#VALUE!</v>
      </c>
    </row>
    <row r="29" spans="1:18" s="92" customFormat="1" x14ac:dyDescent="0.25">
      <c r="A29" s="164"/>
      <c r="B29" s="165"/>
      <c r="C29" s="166"/>
      <c r="D29" s="167"/>
      <c r="E29" s="30" t="str">
        <f>'Calcs-DMMY'!E$216</f>
        <v>Revenue adjustment for RCV run-off - real - DMMY</v>
      </c>
      <c r="F29" s="249"/>
      <c r="G29" s="249" t="str">
        <f>'Calcs-DMMY'!G$216</f>
        <v>£m</v>
      </c>
      <c r="H29" s="281" t="e">
        <f>'Calcs-DMMY'!H$216</f>
        <v>#VALUE!</v>
      </c>
      <c r="I29" s="281"/>
      <c r="J29" s="281">
        <f>'Calcs-DMMY'!J$216</f>
        <v>0</v>
      </c>
      <c r="K29" s="281">
        <f>'Calcs-DMMY'!K$216</f>
        <v>0</v>
      </c>
      <c r="L29" s="281">
        <f>'Calcs-DMMY'!L$216</f>
        <v>0</v>
      </c>
      <c r="M29" s="281" t="e">
        <f>'Calcs-DMMY'!M$216</f>
        <v>#VALUE!</v>
      </c>
      <c r="N29" s="281" t="e">
        <f>'Calcs-DMMY'!N$216</f>
        <v>#VALUE!</v>
      </c>
      <c r="O29" s="281" t="e">
        <f>'Calcs-DMMY'!O$216</f>
        <v>#VALUE!</v>
      </c>
      <c r="P29" s="281" t="e">
        <f>'Calcs-DMMY'!P$216</f>
        <v>#VALUE!</v>
      </c>
      <c r="Q29" s="281" t="e">
        <f>'Calcs-DMMY'!Q$216</f>
        <v>#VALUE!</v>
      </c>
      <c r="R29" s="281" t="e">
        <f>'Calcs-DMMY'!R$216</f>
        <v>#VALUE!</v>
      </c>
    </row>
    <row r="30" spans="1:18" s="92" customFormat="1" x14ac:dyDescent="0.25">
      <c r="A30" s="164"/>
      <c r="B30" s="165"/>
      <c r="C30" s="166"/>
      <c r="D30" s="167"/>
      <c r="E30" s="30" t="str">
        <f>'Calcs-DMMY'!E$221</f>
        <v>Revenue adjustment for return - real - DMMY</v>
      </c>
      <c r="F30" s="249"/>
      <c r="G30" s="249" t="str">
        <f>'Calcs-DMMY'!G$221</f>
        <v>£m</v>
      </c>
      <c r="H30" s="281" t="e">
        <f>'Calcs-DMMY'!H$221</f>
        <v>#VALUE!</v>
      </c>
      <c r="I30" s="281"/>
      <c r="J30" s="281">
        <f>'Calcs-DMMY'!J$221</f>
        <v>0</v>
      </c>
      <c r="K30" s="281">
        <f>'Calcs-DMMY'!K$221</f>
        <v>0</v>
      </c>
      <c r="L30" s="281" t="e">
        <f>'Calcs-DMMY'!L$221</f>
        <v>#VALUE!</v>
      </c>
      <c r="M30" s="281" t="e">
        <f>'Calcs-DMMY'!M$221</f>
        <v>#VALUE!</v>
      </c>
      <c r="N30" s="281" t="e">
        <f>'Calcs-DMMY'!N$221</f>
        <v>#VALUE!</v>
      </c>
      <c r="O30" s="281" t="e">
        <f>'Calcs-DMMY'!O$221</f>
        <v>#VALUE!</v>
      </c>
      <c r="P30" s="281" t="e">
        <f>'Calcs-DMMY'!P$221</f>
        <v>#VALUE!</v>
      </c>
      <c r="Q30" s="281" t="e">
        <f>'Calcs-DMMY'!Q$221</f>
        <v>#VALUE!</v>
      </c>
      <c r="R30" s="281" t="e">
        <f>'Calcs-DMMY'!R$221</f>
        <v>#VALUE!</v>
      </c>
    </row>
    <row r="31" spans="1:18" s="92" customFormat="1" x14ac:dyDescent="0.25">
      <c r="A31" s="164"/>
      <c r="B31" s="165"/>
      <c r="C31" s="166"/>
      <c r="D31" s="167"/>
      <c r="E31" s="30"/>
      <c r="F31" s="249"/>
      <c r="G31" s="249"/>
      <c r="H31" s="281"/>
      <c r="I31" s="281"/>
      <c r="J31" s="281"/>
      <c r="K31" s="281"/>
      <c r="L31" s="281"/>
      <c r="M31" s="281"/>
      <c r="N31" s="281"/>
      <c r="O31" s="281"/>
      <c r="P31" s="281"/>
      <c r="Q31" s="281"/>
      <c r="R31" s="281"/>
    </row>
    <row r="32" spans="1:18" x14ac:dyDescent="0.3">
      <c r="A32" s="10" t="s">
        <v>114</v>
      </c>
      <c r="B32" s="1"/>
      <c r="C32" s="1"/>
      <c r="D32" s="1"/>
      <c r="E32" s="1"/>
      <c r="F32" s="1"/>
      <c r="G32" s="1"/>
      <c r="H32" s="1"/>
      <c r="I32" s="1"/>
      <c r="J32" s="1"/>
      <c r="K32" s="1"/>
      <c r="L32" s="1"/>
      <c r="M32" s="1"/>
      <c r="N32" s="1"/>
      <c r="O32" s="1"/>
      <c r="P32" s="1"/>
      <c r="Q32" s="1"/>
      <c r="R32" s="1"/>
    </row>
    <row r="34" spans="10:18" x14ac:dyDescent="0.25">
      <c r="J34" s="281"/>
      <c r="K34" s="281"/>
      <c r="L34" s="281"/>
      <c r="M34" s="281"/>
      <c r="N34" s="281"/>
      <c r="O34" s="281"/>
      <c r="P34" s="281"/>
      <c r="Q34" s="281"/>
      <c r="R34" s="281"/>
    </row>
    <row r="35" spans="10:18" x14ac:dyDescent="0.25">
      <c r="J35" s="281"/>
      <c r="K35" s="281"/>
      <c r="L35" s="281"/>
      <c r="M35" s="281"/>
      <c r="N35" s="281"/>
      <c r="O35" s="281"/>
      <c r="P35" s="281"/>
      <c r="Q35" s="281"/>
      <c r="R35" s="281"/>
    </row>
    <row r="36" spans="10:18" x14ac:dyDescent="0.25">
      <c r="J36" s="281"/>
      <c r="K36" s="281"/>
      <c r="L36" s="281"/>
      <c r="M36" s="281"/>
      <c r="N36" s="281"/>
      <c r="O36" s="281"/>
      <c r="P36" s="281"/>
      <c r="Q36" s="281"/>
      <c r="R36" s="281"/>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election activeCell="F14" sqref="F14"/>
    </sheetView>
  </sheetViews>
  <sheetFormatPr defaultColWidth="0" defaultRowHeight="13" x14ac:dyDescent="0.25"/>
  <cols>
    <col min="1" max="1" width="1.453125" style="5" customWidth="1"/>
    <col min="2" max="3" width="1.453125" style="9" customWidth="1"/>
    <col min="4" max="4" width="1.453125" style="6" customWidth="1"/>
    <col min="5" max="5" width="48" style="7" bestFit="1" customWidth="1"/>
    <col min="6" max="6" width="12.54296875" style="7" customWidth="1"/>
    <col min="7" max="8" width="11.54296875" style="7" customWidth="1"/>
    <col min="9" max="9" width="2.54296875" style="7" customWidth="1"/>
    <col min="10" max="18" width="11.54296875" style="7" customWidth="1"/>
    <col min="19" max="79" width="11.54296875" style="7" hidden="1" customWidth="1"/>
    <col min="80" max="16384" width="0" style="7" hidden="1"/>
  </cols>
  <sheetData>
    <row r="1" spans="1:26" s="122" customFormat="1" ht="25" x14ac:dyDescent="0.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t="str">
        <f>Time!E$11</f>
        <v>Model column counter</v>
      </c>
      <c r="F5" s="5" t="s">
        <v>132</v>
      </c>
      <c r="G5" s="5" t="s">
        <v>133</v>
      </c>
      <c r="H5" s="5" t="s">
        <v>134</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430</v>
      </c>
    </row>
    <row r="9" spans="1:26" x14ac:dyDescent="0.25">
      <c r="E9" s="7" t="s">
        <v>431</v>
      </c>
      <c r="F9" s="29" t="e">
        <f>SUM(F11:F20)</f>
        <v>#VALUE!</v>
      </c>
      <c r="G9" s="7" t="s">
        <v>432</v>
      </c>
    </row>
    <row r="11" spans="1:26" s="12" customFormat="1" x14ac:dyDescent="0.25">
      <c r="A11" s="15"/>
      <c r="B11" s="14"/>
      <c r="C11" s="14"/>
      <c r="D11" s="13"/>
      <c r="E11" s="12" t="s">
        <v>433</v>
      </c>
      <c r="F11" s="12" t="s">
        <v>434</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1</v>
      </c>
      <c r="G14" s="7" t="str">
        <f>'Calcs-WR'!G$165</f>
        <v>check</v>
      </c>
    </row>
    <row r="15" spans="1:26" x14ac:dyDescent="0.25">
      <c r="E15" s="7" t="str">
        <f>'Calcs-WN'!E$165 &amp; "-WN"</f>
        <v>True-up correctly calculates revenue adjustment-WN</v>
      </c>
      <c r="F15" s="33">
        <f>'Calcs-WN'!F$165</f>
        <v>1</v>
      </c>
      <c r="G15" s="7" t="str">
        <f>'Calcs-WN'!G$165</f>
        <v>check</v>
      </c>
    </row>
    <row r="16" spans="1:26" x14ac:dyDescent="0.25">
      <c r="E16" s="7" t="str">
        <f>'Calcs-WWN'!E$165 &amp; "-WWN"</f>
        <v>True-up correctly calculates revenue adjustment-WWN</v>
      </c>
      <c r="F16" s="33" t="e">
        <f>'Calcs-WWN'!F$165</f>
        <v>#VALUE!</v>
      </c>
      <c r="G16" s="7" t="str">
        <f>'Calcs-WWN'!G$165</f>
        <v>check</v>
      </c>
    </row>
    <row r="17" spans="1:7" x14ac:dyDescent="0.25">
      <c r="E17" s="7" t="str">
        <f>'Calcs-BR'!E$165 &amp; "-BR"</f>
        <v>True-up correctly calculates revenue adjustment-BR</v>
      </c>
      <c r="F17" s="33" t="e">
        <f>'Calcs-BR'!F$165</f>
        <v>#VALUE!</v>
      </c>
      <c r="G17" s="7" t="str">
        <f>'Calcs-BR'!G$165</f>
        <v>check</v>
      </c>
    </row>
    <row r="18" spans="1:7" x14ac:dyDescent="0.25">
      <c r="E18" s="7" t="str">
        <f>'Calcs-DMMY'!E$165 &amp; "-DMMY"</f>
        <v>True-up correctly calculates revenue adjustment-DMMY</v>
      </c>
      <c r="F18" s="33" t="e">
        <f>'Calcs-DMMY'!F$165</f>
        <v>#VALUE!</v>
      </c>
      <c r="G18" s="7" t="str">
        <f>'Calcs-DMMY'!G$165</f>
        <v>check</v>
      </c>
    </row>
    <row r="20" spans="1:7" s="12" customFormat="1" x14ac:dyDescent="0.25">
      <c r="A20" s="15"/>
      <c r="B20" s="14"/>
      <c r="C20" s="14"/>
      <c r="D20" s="13"/>
      <c r="E20" s="12" t="s">
        <v>433</v>
      </c>
      <c r="F20" s="12" t="s">
        <v>435</v>
      </c>
    </row>
    <row r="22" spans="1:7" s="1" customFormat="1" x14ac:dyDescent="0.3">
      <c r="A22" s="10" t="s">
        <v>114</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5" zeroHeight="1" x14ac:dyDescent="0.25"/>
  <cols>
    <col min="1" max="4" width="2.54296875" customWidth="1"/>
    <col min="5" max="5" width="36.81640625" bestFit="1" customWidth="1"/>
    <col min="6" max="6" width="5.54296875" customWidth="1"/>
    <col min="7" max="8" width="9.1796875" customWidth="1"/>
    <col min="9" max="9" width="94.1796875" customWidth="1"/>
    <col min="10" max="16383" width="9.1796875" hidden="1"/>
    <col min="16384" max="16384" width="12.453125" hidden="1" customWidth="1"/>
  </cols>
  <sheetData>
    <row r="1" spans="1:9" s="122" customFormat="1" ht="25" x14ac:dyDescent="0.5">
      <c r="A1" s="118" t="str">
        <f ca="1" xml:space="preserve"> RIGHT(CELL("filename", $A$1), LEN(CELL("filename", $A$1)) - SEARCH("]", CELL("filename", $A$1)))</f>
        <v>Style Guide</v>
      </c>
    </row>
    <row r="2" spans="1:9" x14ac:dyDescent="0.25"/>
    <row r="3" spans="1:9" x14ac:dyDescent="0.25"/>
    <row r="4" spans="1:9" ht="13" x14ac:dyDescent="0.25">
      <c r="A4" s="139" t="s">
        <v>55</v>
      </c>
      <c r="B4" s="139"/>
      <c r="C4" s="140"/>
      <c r="D4" s="141"/>
      <c r="E4" s="139"/>
      <c r="F4" s="139"/>
      <c r="G4" s="139"/>
      <c r="H4" s="139"/>
      <c r="I4" s="139"/>
    </row>
    <row r="5" spans="1:9" ht="13" x14ac:dyDescent="0.25">
      <c r="A5" s="5"/>
      <c r="B5" s="5"/>
      <c r="C5" s="9"/>
      <c r="D5" s="6"/>
      <c r="E5" s="7"/>
      <c r="F5" s="7"/>
      <c r="G5" s="7"/>
      <c r="H5" s="7"/>
      <c r="I5" s="7"/>
    </row>
    <row r="6" spans="1:9" ht="13" x14ac:dyDescent="0.25">
      <c r="A6" s="5"/>
      <c r="B6" s="5"/>
      <c r="C6" s="9"/>
      <c r="D6" s="6"/>
      <c r="E6" s="142" t="s">
        <v>56</v>
      </c>
      <c r="F6" s="7"/>
      <c r="G6" s="7" t="s">
        <v>57</v>
      </c>
      <c r="H6" s="7"/>
      <c r="I6" s="7"/>
    </row>
    <row r="7" spans="1:9" ht="13" x14ac:dyDescent="0.25">
      <c r="A7" s="5"/>
      <c r="B7" s="5"/>
      <c r="C7" s="9"/>
      <c r="D7" s="6"/>
      <c r="E7" s="143"/>
      <c r="F7" s="7"/>
      <c r="G7" s="7"/>
      <c r="H7" s="7"/>
      <c r="I7" s="7"/>
    </row>
    <row r="8" spans="1:9" ht="13" x14ac:dyDescent="0.25">
      <c r="A8" s="5"/>
      <c r="B8" s="5"/>
      <c r="C8" s="9"/>
      <c r="D8" s="6"/>
      <c r="E8" s="144" t="s">
        <v>58</v>
      </c>
      <c r="F8" s="7"/>
      <c r="G8" s="7" t="s">
        <v>59</v>
      </c>
      <c r="H8" s="7"/>
      <c r="I8" s="7"/>
    </row>
    <row r="9" spans="1:9" ht="13" x14ac:dyDescent="0.25">
      <c r="A9" s="5"/>
      <c r="B9" s="5"/>
      <c r="C9" s="9"/>
      <c r="D9" s="6"/>
      <c r="E9" s="143"/>
      <c r="F9" s="7"/>
      <c r="G9" s="7"/>
      <c r="H9" s="7"/>
      <c r="I9" s="7"/>
    </row>
    <row r="10" spans="1:9" ht="13" x14ac:dyDescent="0.25">
      <c r="A10" s="5"/>
      <c r="B10" s="5"/>
      <c r="C10" s="9"/>
      <c r="D10" s="6"/>
      <c r="E10" s="145" t="s">
        <v>60</v>
      </c>
      <c r="F10" s="7"/>
      <c r="G10" s="7" t="s">
        <v>61</v>
      </c>
      <c r="H10" s="7"/>
      <c r="I10" s="7"/>
    </row>
    <row r="11" spans="1:9" ht="13" x14ac:dyDescent="0.25">
      <c r="A11" s="5"/>
      <c r="B11" s="5"/>
      <c r="C11" s="9"/>
      <c r="D11" s="6"/>
      <c r="E11" s="143"/>
      <c r="F11" s="7"/>
      <c r="G11" s="7"/>
      <c r="H11" s="7"/>
      <c r="I11" s="7"/>
    </row>
    <row r="12" spans="1:9" ht="13" x14ac:dyDescent="0.25">
      <c r="A12" s="5"/>
      <c r="B12" s="5"/>
      <c r="C12" s="9"/>
      <c r="D12" s="6"/>
      <c r="E12" s="146" t="s">
        <v>62</v>
      </c>
      <c r="F12" s="7"/>
      <c r="G12" s="7" t="s">
        <v>63</v>
      </c>
      <c r="H12" s="7"/>
      <c r="I12" s="7"/>
    </row>
    <row r="13" spans="1:9" ht="13" x14ac:dyDescent="0.25">
      <c r="A13" s="5"/>
      <c r="B13" s="5"/>
      <c r="C13" s="9"/>
      <c r="D13" s="6"/>
      <c r="E13" s="143"/>
      <c r="F13" s="7"/>
      <c r="G13" s="7"/>
      <c r="H13" s="7"/>
      <c r="I13" s="7"/>
    </row>
    <row r="14" spans="1:9" ht="13" x14ac:dyDescent="0.25">
      <c r="A14" s="5"/>
      <c r="B14" s="5"/>
      <c r="C14" s="9"/>
      <c r="D14" s="6"/>
      <c r="E14" s="147" t="s">
        <v>64</v>
      </c>
      <c r="F14" s="7"/>
      <c r="G14" s="7" t="s">
        <v>65</v>
      </c>
      <c r="H14" s="7"/>
      <c r="I14" s="7"/>
    </row>
    <row r="15" spans="1:9" ht="13" x14ac:dyDescent="0.25">
      <c r="A15" s="5"/>
      <c r="B15" s="5"/>
      <c r="C15" s="9"/>
      <c r="D15" s="6"/>
      <c r="E15" s="7"/>
      <c r="F15" s="7"/>
      <c r="G15" s="7"/>
      <c r="H15" s="7"/>
      <c r="I15" s="7"/>
    </row>
    <row r="16" spans="1:9" ht="13" x14ac:dyDescent="0.25">
      <c r="A16" s="5"/>
      <c r="B16" s="5"/>
      <c r="C16" s="9"/>
      <c r="D16" s="6"/>
      <c r="E16" s="7"/>
      <c r="F16" s="7"/>
      <c r="G16" s="7"/>
      <c r="H16" s="7"/>
      <c r="I16" s="7"/>
    </row>
    <row r="17" spans="1:9" ht="13" x14ac:dyDescent="0.25">
      <c r="A17" s="139" t="s">
        <v>66</v>
      </c>
      <c r="B17" s="139"/>
      <c r="C17" s="140"/>
      <c r="D17" s="141"/>
      <c r="E17" s="139"/>
      <c r="F17" s="139"/>
      <c r="G17" s="139"/>
      <c r="H17" s="139"/>
      <c r="I17" s="139"/>
    </row>
    <row r="18" spans="1:9" ht="13" x14ac:dyDescent="0.25">
      <c r="A18" s="5"/>
      <c r="B18" s="5"/>
      <c r="C18" s="9"/>
      <c r="D18" s="6"/>
      <c r="E18" s="7"/>
      <c r="F18" s="7"/>
      <c r="G18" s="7"/>
      <c r="H18" s="7"/>
      <c r="I18" s="7"/>
    </row>
    <row r="19" spans="1:9" ht="13" x14ac:dyDescent="0.25">
      <c r="A19" s="5"/>
      <c r="B19" s="5" t="s">
        <v>67</v>
      </c>
      <c r="C19" s="9"/>
      <c r="D19" s="6"/>
      <c r="E19" s="7"/>
      <c r="F19" s="7"/>
      <c r="G19" s="7"/>
      <c r="H19" s="7"/>
      <c r="I19" s="7"/>
    </row>
    <row r="20" spans="1:9" ht="13" x14ac:dyDescent="0.25">
      <c r="A20" s="5"/>
      <c r="B20" s="5"/>
      <c r="C20" s="9"/>
      <c r="D20" s="6"/>
      <c r="E20" s="37" t="s">
        <v>68</v>
      </c>
      <c r="F20" s="7"/>
      <c r="G20" s="7" t="s">
        <v>69</v>
      </c>
      <c r="H20" s="7"/>
      <c r="I20" s="7"/>
    </row>
    <row r="21" spans="1:9" ht="13" x14ac:dyDescent="0.25">
      <c r="A21" s="5"/>
      <c r="B21" s="5"/>
      <c r="C21" s="9"/>
      <c r="D21" s="6"/>
      <c r="E21" s="7"/>
      <c r="F21" s="7"/>
      <c r="G21" s="7"/>
      <c r="H21" s="7"/>
      <c r="I21" s="7"/>
    </row>
    <row r="22" spans="1:9" ht="13" x14ac:dyDescent="0.25">
      <c r="A22" s="5"/>
      <c r="B22" s="5"/>
      <c r="C22" s="9"/>
      <c r="D22" s="6"/>
      <c r="E22" s="2" t="s">
        <v>70</v>
      </c>
      <c r="F22" s="7"/>
      <c r="G22" s="7" t="s">
        <v>71</v>
      </c>
      <c r="H22" s="7"/>
      <c r="I22" s="7"/>
    </row>
    <row r="23" spans="1:9" ht="13" x14ac:dyDescent="0.25">
      <c r="A23" s="5"/>
      <c r="B23" s="5"/>
      <c r="C23" s="9"/>
      <c r="D23" s="6"/>
      <c r="E23" s="7"/>
      <c r="F23" s="7"/>
      <c r="G23" s="7"/>
      <c r="H23" s="7"/>
      <c r="I23" s="7"/>
    </row>
    <row r="24" spans="1:9" ht="13" x14ac:dyDescent="0.25">
      <c r="A24" s="5"/>
      <c r="B24" s="5"/>
      <c r="C24" s="9"/>
      <c r="D24" s="6"/>
      <c r="E24" s="7" t="s">
        <v>72</v>
      </c>
      <c r="F24" s="7"/>
      <c r="G24" s="7" t="s">
        <v>73</v>
      </c>
      <c r="H24" s="7"/>
      <c r="I24" s="7"/>
    </row>
    <row r="25" spans="1:9" ht="13" x14ac:dyDescent="0.25">
      <c r="A25" s="5"/>
      <c r="B25" s="5"/>
      <c r="C25" s="9"/>
      <c r="D25" s="6"/>
      <c r="E25" s="7"/>
      <c r="F25" s="7"/>
      <c r="G25" s="7"/>
      <c r="H25" s="7"/>
      <c r="I25" s="7"/>
    </row>
    <row r="26" spans="1:9" ht="13" x14ac:dyDescent="0.25">
      <c r="A26" s="5"/>
      <c r="B26" s="5" t="s">
        <v>74</v>
      </c>
      <c r="C26" s="9"/>
      <c r="D26" s="6"/>
      <c r="E26" s="7"/>
      <c r="F26" s="7"/>
      <c r="G26" s="7"/>
      <c r="H26" s="7"/>
      <c r="I26" s="7"/>
    </row>
    <row r="27" spans="1:9" ht="13" x14ac:dyDescent="0.25">
      <c r="A27" s="5"/>
      <c r="B27" s="5"/>
      <c r="C27" s="9"/>
      <c r="D27" s="6"/>
      <c r="E27" s="148" t="s">
        <v>75</v>
      </c>
      <c r="F27" s="7"/>
      <c r="G27" s="7" t="s">
        <v>76</v>
      </c>
      <c r="H27" s="7"/>
      <c r="I27" s="7"/>
    </row>
    <row r="28" spans="1:9" ht="13" x14ac:dyDescent="0.25">
      <c r="A28" s="5"/>
      <c r="B28" s="5"/>
      <c r="C28" s="9"/>
      <c r="D28" s="6"/>
      <c r="E28" s="7"/>
      <c r="F28" s="7"/>
      <c r="G28" s="7"/>
      <c r="H28" s="7"/>
      <c r="I28" s="7"/>
    </row>
    <row r="29" spans="1:9" ht="13" x14ac:dyDescent="0.25">
      <c r="A29" s="5"/>
      <c r="B29" s="5"/>
      <c r="C29" s="9"/>
      <c r="D29" s="6"/>
      <c r="E29" s="149" t="s">
        <v>77</v>
      </c>
      <c r="F29" s="7"/>
      <c r="G29" s="7" t="s">
        <v>78</v>
      </c>
      <c r="H29" s="7"/>
      <c r="I29" s="7"/>
    </row>
    <row r="30" spans="1:9" ht="13" x14ac:dyDescent="0.25">
      <c r="A30" s="5"/>
      <c r="B30" s="5"/>
      <c r="C30" s="9"/>
      <c r="D30" s="6"/>
      <c r="E30" s="7"/>
      <c r="F30" s="7"/>
      <c r="G30" s="7"/>
      <c r="H30" s="7"/>
      <c r="I30" s="7"/>
    </row>
    <row r="31" spans="1:9" ht="13" x14ac:dyDescent="0.25">
      <c r="A31" s="5"/>
      <c r="B31" s="5"/>
      <c r="C31" s="9"/>
      <c r="D31" s="6"/>
      <c r="E31" s="150" t="s">
        <v>79</v>
      </c>
      <c r="F31" s="7"/>
      <c r="G31" s="7" t="s">
        <v>80</v>
      </c>
      <c r="H31" s="7"/>
      <c r="I31" s="7"/>
    </row>
    <row r="32" spans="1:9" ht="13" x14ac:dyDescent="0.25">
      <c r="A32" s="5"/>
      <c r="B32" s="5"/>
      <c r="C32" s="9"/>
      <c r="D32" s="6"/>
      <c r="E32" s="7"/>
      <c r="F32" s="7"/>
      <c r="G32" s="7"/>
      <c r="H32" s="7"/>
      <c r="I32" s="7"/>
    </row>
    <row r="33" spans="1:9" ht="13" x14ac:dyDescent="0.25">
      <c r="A33" s="5"/>
      <c r="B33" s="5"/>
      <c r="C33" s="9"/>
      <c r="D33" s="6"/>
      <c r="E33" s="149" t="s">
        <v>81</v>
      </c>
      <c r="F33" s="7"/>
      <c r="G33" s="7" t="s">
        <v>82</v>
      </c>
      <c r="H33" s="7"/>
      <c r="I33" s="7"/>
    </row>
    <row r="34" spans="1:9" ht="13" x14ac:dyDescent="0.25">
      <c r="A34" s="5"/>
      <c r="B34" s="5"/>
      <c r="C34" s="9"/>
      <c r="D34" s="6"/>
      <c r="E34" s="7"/>
      <c r="F34" s="7"/>
      <c r="G34" s="7"/>
      <c r="H34" s="7"/>
      <c r="I34" s="7"/>
    </row>
    <row r="35" spans="1:9" ht="13" x14ac:dyDescent="0.25">
      <c r="A35" s="5"/>
      <c r="B35" s="5" t="s">
        <v>83</v>
      </c>
      <c r="C35" s="9"/>
      <c r="D35" s="6"/>
      <c r="E35" s="7"/>
      <c r="F35" s="7"/>
      <c r="G35" s="7"/>
      <c r="H35" s="7"/>
      <c r="I35" s="7"/>
    </row>
    <row r="36" spans="1:9" ht="13" x14ac:dyDescent="0.25">
      <c r="A36" s="5"/>
      <c r="B36" s="5"/>
      <c r="C36" s="9"/>
      <c r="D36" s="6"/>
      <c r="E36" s="151" t="s">
        <v>84</v>
      </c>
      <c r="F36" s="7"/>
      <c r="G36" s="7" t="s">
        <v>85</v>
      </c>
      <c r="H36" s="7"/>
      <c r="I36" s="7"/>
    </row>
    <row r="37" spans="1:9" ht="13" x14ac:dyDescent="0.25">
      <c r="A37" s="5"/>
      <c r="B37" s="5"/>
      <c r="C37" s="9"/>
      <c r="D37" s="6"/>
      <c r="E37" s="7"/>
      <c r="F37" s="7"/>
      <c r="G37" s="7"/>
      <c r="H37" s="7"/>
      <c r="I37" s="7"/>
    </row>
    <row r="38" spans="1:9" ht="13" x14ac:dyDescent="0.25">
      <c r="A38" s="5"/>
      <c r="B38" s="5"/>
      <c r="C38" s="9"/>
      <c r="D38" s="6"/>
      <c r="E38" s="3" t="s">
        <v>86</v>
      </c>
      <c r="F38" s="7"/>
      <c r="G38" s="7" t="s">
        <v>87</v>
      </c>
      <c r="H38" s="7"/>
      <c r="I38" s="7"/>
    </row>
    <row r="39" spans="1:9" ht="13" x14ac:dyDescent="0.25">
      <c r="A39" s="5"/>
      <c r="B39" s="5"/>
      <c r="C39" s="9"/>
      <c r="D39" s="6"/>
      <c r="E39" s="7"/>
      <c r="F39" s="7"/>
      <c r="G39" s="7"/>
      <c r="H39" s="7"/>
      <c r="I39" s="7"/>
    </row>
    <row r="40" spans="1:9" ht="13" x14ac:dyDescent="0.25">
      <c r="A40" s="5"/>
      <c r="B40" s="5"/>
      <c r="C40" s="9"/>
      <c r="D40" s="6"/>
      <c r="E40" s="152" t="s">
        <v>88</v>
      </c>
      <c r="F40" s="7"/>
      <c r="G40" s="7" t="s">
        <v>89</v>
      </c>
      <c r="H40" s="7"/>
      <c r="I40" s="7"/>
    </row>
    <row r="41" spans="1:9" ht="13" x14ac:dyDescent="0.25">
      <c r="A41" s="5"/>
      <c r="B41" s="5"/>
      <c r="C41" s="9"/>
      <c r="D41" s="6"/>
      <c r="E41" s="7"/>
      <c r="F41" s="7"/>
      <c r="G41" s="7"/>
      <c r="H41" s="7"/>
      <c r="I41" s="7"/>
    </row>
    <row r="42" spans="1:9" ht="13" x14ac:dyDescent="0.25">
      <c r="A42" s="5"/>
      <c r="B42" s="5"/>
      <c r="C42" s="9"/>
      <c r="D42" s="6"/>
      <c r="E42" s="8" t="s">
        <v>90</v>
      </c>
      <c r="F42" s="7"/>
      <c r="G42" s="7" t="s">
        <v>91</v>
      </c>
      <c r="H42" s="7"/>
      <c r="I42" s="7"/>
    </row>
    <row r="43" spans="1:9" ht="13" x14ac:dyDescent="0.25">
      <c r="A43" s="5"/>
      <c r="B43" s="5"/>
      <c r="C43" s="9"/>
      <c r="D43" s="6"/>
      <c r="E43" s="7"/>
      <c r="F43" s="7"/>
      <c r="G43" s="7"/>
      <c r="H43" s="7"/>
      <c r="I43" s="7"/>
    </row>
    <row r="44" spans="1:9" ht="13" x14ac:dyDescent="0.25">
      <c r="A44" s="5"/>
      <c r="B44" s="5"/>
      <c r="C44" s="9"/>
      <c r="D44" s="6"/>
      <c r="E44" s="153" t="s">
        <v>92</v>
      </c>
      <c r="F44" s="7"/>
      <c r="G44" s="7" t="s">
        <v>93</v>
      </c>
      <c r="H44" s="7"/>
      <c r="I44" s="7"/>
    </row>
    <row r="45" spans="1:9" ht="13" x14ac:dyDescent="0.25">
      <c r="A45" s="5"/>
      <c r="B45" s="5"/>
      <c r="C45" s="9"/>
      <c r="D45" s="6"/>
      <c r="E45" s="7"/>
      <c r="F45" s="7"/>
      <c r="G45" s="7"/>
      <c r="H45" s="7"/>
      <c r="I45" s="7"/>
    </row>
    <row r="46" spans="1:9" ht="13" x14ac:dyDescent="0.25">
      <c r="A46" s="5"/>
      <c r="B46" s="5" t="s">
        <v>94</v>
      </c>
      <c r="C46" s="9"/>
      <c r="D46" s="6"/>
      <c r="E46" s="7"/>
      <c r="F46" s="7"/>
      <c r="G46" s="7"/>
      <c r="H46" s="7"/>
      <c r="I46" s="7"/>
    </row>
    <row r="47" spans="1:9" ht="13" x14ac:dyDescent="0.25">
      <c r="A47" s="5"/>
      <c r="B47" s="5"/>
      <c r="C47" s="9"/>
      <c r="D47" s="6"/>
      <c r="E47" s="154" t="s">
        <v>95</v>
      </c>
      <c r="F47" s="7"/>
      <c r="G47" s="7" t="s">
        <v>96</v>
      </c>
      <c r="H47" s="7"/>
      <c r="I47" s="7"/>
    </row>
    <row r="48" spans="1:9" ht="13" x14ac:dyDescent="0.25">
      <c r="A48" s="5"/>
      <c r="B48" s="5"/>
      <c r="C48" s="9"/>
      <c r="D48" s="6"/>
      <c r="E48" s="7"/>
      <c r="F48" s="7"/>
      <c r="G48" s="7"/>
      <c r="H48" s="7"/>
      <c r="I48" s="7"/>
    </row>
    <row r="49" spans="1:9" ht="13" x14ac:dyDescent="0.25">
      <c r="A49" s="5"/>
      <c r="B49" s="5"/>
      <c r="C49" s="9"/>
      <c r="D49" s="6"/>
      <c r="E49" s="155" t="s">
        <v>97</v>
      </c>
      <c r="F49" s="7"/>
      <c r="G49" s="7" t="s">
        <v>98</v>
      </c>
      <c r="H49" s="7"/>
      <c r="I49" s="7"/>
    </row>
    <row r="50" spans="1:9" ht="13" x14ac:dyDescent="0.25">
      <c r="A50" s="5"/>
      <c r="B50" s="5"/>
      <c r="C50" s="9"/>
      <c r="D50" s="6"/>
      <c r="E50" s="7"/>
      <c r="F50" s="7"/>
      <c r="G50" s="7"/>
      <c r="H50" s="7"/>
      <c r="I50" s="7"/>
    </row>
    <row r="51" spans="1:9" ht="13" x14ac:dyDescent="0.25">
      <c r="A51" s="5"/>
      <c r="B51" s="5"/>
      <c r="C51" s="9"/>
      <c r="D51" s="6"/>
      <c r="E51" s="156" t="s">
        <v>99</v>
      </c>
      <c r="F51" s="7"/>
      <c r="G51" s="7" t="s">
        <v>100</v>
      </c>
      <c r="H51" s="7"/>
      <c r="I51" s="7"/>
    </row>
    <row r="52" spans="1:9" ht="13" x14ac:dyDescent="0.25">
      <c r="A52" s="5"/>
      <c r="B52" s="5"/>
      <c r="C52" s="9"/>
      <c r="D52" s="6"/>
      <c r="E52" s="7"/>
      <c r="F52" s="7"/>
      <c r="G52" s="7"/>
      <c r="H52" s="7"/>
      <c r="I52" s="7"/>
    </row>
    <row r="53" spans="1:9" ht="13" x14ac:dyDescent="0.25">
      <c r="A53" s="5"/>
      <c r="B53" s="5"/>
      <c r="C53" s="9"/>
      <c r="D53" s="7"/>
      <c r="E53" s="7"/>
      <c r="F53" s="7"/>
      <c r="G53" s="7"/>
      <c r="H53" s="7"/>
      <c r="I53" s="7"/>
    </row>
    <row r="54" spans="1:9" ht="13" x14ac:dyDescent="0.25">
      <c r="A54" s="139" t="s">
        <v>101</v>
      </c>
      <c r="B54" s="139"/>
      <c r="C54" s="140"/>
      <c r="D54" s="141"/>
      <c r="E54" s="139"/>
      <c r="F54" s="139"/>
      <c r="G54" s="139"/>
      <c r="H54" s="139"/>
      <c r="I54" s="139"/>
    </row>
    <row r="55" spans="1:9" ht="13" x14ac:dyDescent="0.25">
      <c r="A55" s="5"/>
      <c r="B55" s="5"/>
      <c r="C55" s="9"/>
      <c r="D55" s="6"/>
      <c r="E55" s="7"/>
      <c r="F55" s="7"/>
      <c r="G55" s="7"/>
      <c r="H55" s="7"/>
      <c r="I55" s="7"/>
    </row>
    <row r="56" spans="1:9" ht="13" x14ac:dyDescent="0.25">
      <c r="A56" s="5"/>
      <c r="B56" s="5"/>
      <c r="C56" s="9"/>
      <c r="D56" s="6"/>
      <c r="E56" s="7" t="s">
        <v>102</v>
      </c>
      <c r="F56" s="7"/>
      <c r="G56" s="7" t="s">
        <v>103</v>
      </c>
      <c r="H56" s="7"/>
      <c r="I56" s="7"/>
    </row>
    <row r="57" spans="1:9" ht="13" x14ac:dyDescent="0.25">
      <c r="A57" s="5"/>
      <c r="B57" s="5"/>
      <c r="C57" s="9"/>
      <c r="D57" s="6"/>
      <c r="E57" s="7" t="s">
        <v>104</v>
      </c>
      <c r="F57" s="7"/>
      <c r="G57" s="7" t="s">
        <v>105</v>
      </c>
      <c r="H57" s="7"/>
      <c r="I57" s="7"/>
    </row>
    <row r="58" spans="1:9" ht="13" x14ac:dyDescent="0.25">
      <c r="A58" s="5"/>
      <c r="B58" s="5"/>
      <c r="C58" s="9"/>
      <c r="D58" s="6"/>
      <c r="E58" s="7" t="s">
        <v>106</v>
      </c>
      <c r="F58" s="7"/>
      <c r="G58" s="7" t="s">
        <v>107</v>
      </c>
      <c r="H58" s="7"/>
      <c r="I58" s="7"/>
    </row>
    <row r="59" spans="1:9" ht="13" x14ac:dyDescent="0.25">
      <c r="A59" s="5"/>
      <c r="B59" s="5"/>
      <c r="C59" s="9"/>
      <c r="D59" s="6"/>
      <c r="E59" s="7" t="s">
        <v>108</v>
      </c>
      <c r="F59" s="7"/>
      <c r="G59" s="7" t="s">
        <v>109</v>
      </c>
      <c r="H59" s="7"/>
      <c r="I59" s="7"/>
    </row>
    <row r="60" spans="1:9" ht="13" x14ac:dyDescent="0.25">
      <c r="A60" s="5"/>
      <c r="B60" s="5"/>
      <c r="C60" s="9"/>
      <c r="D60" s="6"/>
      <c r="E60" s="7" t="s">
        <v>110</v>
      </c>
      <c r="F60" s="7"/>
      <c r="G60" s="7" t="s">
        <v>111</v>
      </c>
      <c r="H60" s="7"/>
      <c r="I60" s="7"/>
    </row>
    <row r="61" spans="1:9" ht="13" x14ac:dyDescent="0.25">
      <c r="A61" s="5"/>
      <c r="B61" s="5"/>
      <c r="C61" s="9"/>
      <c r="D61" s="6"/>
      <c r="E61" s="7" t="s">
        <v>112</v>
      </c>
      <c r="F61" s="7"/>
      <c r="G61" s="7" t="s">
        <v>113</v>
      </c>
      <c r="H61" s="7"/>
      <c r="I61" s="7"/>
    </row>
    <row r="62" spans="1:9" ht="13" x14ac:dyDescent="0.25">
      <c r="A62" s="5"/>
      <c r="B62" s="5"/>
      <c r="C62" s="9"/>
      <c r="D62" s="6"/>
      <c r="E62" s="7"/>
      <c r="F62" s="7"/>
      <c r="G62" s="7"/>
      <c r="H62" s="7"/>
      <c r="I62" s="7"/>
    </row>
    <row r="63" spans="1:9" ht="13" x14ac:dyDescent="0.25">
      <c r="A63" s="5"/>
      <c r="B63" s="5"/>
      <c r="C63" s="9"/>
      <c r="D63" s="6"/>
      <c r="E63" s="7"/>
      <c r="F63" s="7"/>
      <c r="G63" s="7"/>
      <c r="H63" s="7"/>
      <c r="I63" s="7"/>
    </row>
    <row r="64" spans="1:9" s="1" customFormat="1" ht="13" x14ac:dyDescent="0.3">
      <c r="A64" s="10" t="s">
        <v>114</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5" zeroHeight="1" x14ac:dyDescent="0.25"/>
  <cols>
    <col min="1" max="1" width="2.54296875" customWidth="1"/>
    <col min="2" max="2" width="36.54296875" bestFit="1" customWidth="1"/>
    <col min="3" max="3" width="3.453125" customWidth="1"/>
    <col min="4" max="4" width="54.81640625" customWidth="1"/>
    <col min="5" max="5" width="3.1796875" customWidth="1"/>
    <col min="6" max="6" width="40.54296875" customWidth="1"/>
    <col min="7" max="7" width="3.1796875" customWidth="1"/>
    <col min="8" max="8" width="40.54296875" customWidth="1"/>
    <col min="9" max="9" width="27.81640625" customWidth="1"/>
    <col min="10" max="10" width="63.1796875" hidden="1" customWidth="1"/>
    <col min="11" max="16384" width="9.1796875" hidden="1"/>
  </cols>
  <sheetData>
    <row r="1" spans="1:11" s="123" customFormat="1" ht="25" x14ac:dyDescent="0.5">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115</v>
      </c>
      <c r="D3" t="s">
        <v>116</v>
      </c>
      <c r="F3" t="s">
        <v>117</v>
      </c>
      <c r="H3" t="s">
        <v>118</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119</v>
      </c>
      <c r="D6" t="s">
        <v>120</v>
      </c>
      <c r="F6" t="s">
        <v>121</v>
      </c>
      <c r="H6" t="s">
        <v>103</v>
      </c>
    </row>
    <row r="7" spans="1:11" x14ac:dyDescent="0.25">
      <c r="D7" s="37"/>
    </row>
    <row r="8" spans="1:11" x14ac:dyDescent="0.25">
      <c r="B8" s="104" t="str">
        <f ca="1">'Style Guide'!$A$1</f>
        <v>Style Guide</v>
      </c>
      <c r="D8" s="104" t="str">
        <f ca="1">Index!$A$1</f>
        <v>Index</v>
      </c>
    </row>
    <row r="9" spans="1:11" x14ac:dyDescent="0.25">
      <c r="B9" t="s">
        <v>122</v>
      </c>
      <c r="D9" t="s">
        <v>123</v>
      </c>
    </row>
    <row r="10" spans="1:11" x14ac:dyDescent="0.25"/>
    <row r="11" spans="1:11" x14ac:dyDescent="0.25">
      <c r="B11" s="106" t="str">
        <f ca="1">$A$1</f>
        <v>ToC</v>
      </c>
      <c r="D11" s="104" t="str">
        <f ca="1">'Calcs-WR'!$A$1</f>
        <v>Calcs-WR</v>
      </c>
    </row>
    <row r="12" spans="1:11" x14ac:dyDescent="0.25">
      <c r="B12" t="s">
        <v>124</v>
      </c>
      <c r="D12" t="s">
        <v>125</v>
      </c>
    </row>
    <row r="13" spans="1:11" x14ac:dyDescent="0.25"/>
    <row r="14" spans="1:11" x14ac:dyDescent="0.25">
      <c r="B14" s="103" t="str">
        <f ca="1">InpR!$A$1</f>
        <v>InpR</v>
      </c>
      <c r="D14" s="104" t="str">
        <f ca="1">'Calcs-WN'!$A$1</f>
        <v>Calcs-WN</v>
      </c>
    </row>
    <row r="15" spans="1:11" x14ac:dyDescent="0.25">
      <c r="B15" t="s">
        <v>126</v>
      </c>
      <c r="D15" t="s">
        <v>127</v>
      </c>
    </row>
    <row r="16" spans="1:11" x14ac:dyDescent="0.25"/>
    <row r="17" spans="1:4" x14ac:dyDescent="0.25">
      <c r="D17" s="104" t="str">
        <f ca="1">'Calcs-WWN'!$A$1</f>
        <v>Calcs-WWN</v>
      </c>
    </row>
    <row r="18" spans="1:4" x14ac:dyDescent="0.25">
      <c r="D18" t="s">
        <v>128</v>
      </c>
    </row>
    <row r="19" spans="1:4" x14ac:dyDescent="0.25"/>
    <row r="20" spans="1:4" x14ac:dyDescent="0.25">
      <c r="D20" s="104" t="str">
        <f ca="1">'Calcs-BR'!$A$1</f>
        <v>Calcs-BR</v>
      </c>
    </row>
    <row r="21" spans="1:4" x14ac:dyDescent="0.25">
      <c r="D21" t="s">
        <v>129</v>
      </c>
    </row>
    <row r="22" spans="1:4" x14ac:dyDescent="0.25"/>
    <row r="23" spans="1:4" x14ac:dyDescent="0.25">
      <c r="D23" s="104" t="str">
        <f ca="1">'Calcs-DMMY'!$A$1</f>
        <v>Calcs-DMMY</v>
      </c>
    </row>
    <row r="24" spans="1:4" x14ac:dyDescent="0.25">
      <c r="D24" t="s">
        <v>130</v>
      </c>
    </row>
    <row r="25" spans="1:4" x14ac:dyDescent="0.25"/>
    <row r="26" spans="1:4" x14ac:dyDescent="0.25"/>
    <row r="27" spans="1:4" x14ac:dyDescent="0.25"/>
    <row r="28" spans="1:4" x14ac:dyDescent="0.25"/>
    <row r="29" spans="1:4" s="1" customFormat="1" ht="13" x14ac:dyDescent="0.3">
      <c r="A29" s="10" t="s">
        <v>114</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80" zoomScaleNormal="80" workbookViewId="0">
      <pane xSplit="9" ySplit="7" topLeftCell="J115" activePane="bottomRight" state="frozen"/>
      <selection pane="topRight"/>
      <selection pane="bottomLeft"/>
      <selection pane="bottomRight" activeCell="M70" sqref="M70:R81"/>
    </sheetView>
  </sheetViews>
  <sheetFormatPr defaultColWidth="0" defaultRowHeight="13" zeroHeight="1" x14ac:dyDescent="0.25"/>
  <cols>
    <col min="1" max="1" width="1.453125" style="5" customWidth="1"/>
    <col min="2" max="2" width="1.453125" style="9" customWidth="1"/>
    <col min="3" max="3" width="1.453125" style="117" customWidth="1"/>
    <col min="4" max="4" width="1.453125" style="6" customWidth="1"/>
    <col min="5" max="5" width="54.54296875" style="7" bestFit="1" customWidth="1"/>
    <col min="6" max="6" width="11.453125" style="7" customWidth="1"/>
    <col min="7" max="7" width="9.54296875" style="7" bestFit="1" customWidth="1"/>
    <col min="8" max="8" width="5" style="7" bestFit="1" customWidth="1"/>
    <col min="9" max="9" width="21.54296875" style="7" customWidth="1"/>
    <col min="10" max="10" width="9.81640625" style="7" bestFit="1" customWidth="1"/>
    <col min="11" max="11" width="9.54296875" style="7" customWidth="1"/>
    <col min="12" max="17" width="9.81640625" style="7" bestFit="1" customWidth="1"/>
    <col min="18" max="18" width="10.453125" style="7" bestFit="1" customWidth="1"/>
    <col min="19" max="82" width="11.54296875" style="7" hidden="1" customWidth="1"/>
    <col min="83" max="109" width="0" style="7" hidden="1" customWidth="1"/>
    <col min="110" max="16384" width="9.1796875" style="7" hidden="1"/>
  </cols>
  <sheetData>
    <row r="1" spans="1:82" s="122" customFormat="1" ht="25" x14ac:dyDescent="0.5">
      <c r="A1" s="118" t="str">
        <f ca="1" xml:space="preserve"> RIGHT(CELL("filename", $A$1), LEN(CELL("filename", $A$1)) - SEARCH("]", CELL("filename", $A$1)))</f>
        <v>InpR</v>
      </c>
      <c r="C1" s="132"/>
    </row>
    <row r="2" spans="1:82" s="26" customFormat="1" x14ac:dyDescent="0.25">
      <c r="A2" s="62"/>
      <c r="B2" s="58"/>
      <c r="C2" s="113"/>
      <c r="D2" s="52"/>
      <c r="E2" s="26" t="str">
        <f>Time!E$22</f>
        <v>Model Period BEG</v>
      </c>
      <c r="F2" s="29" t="e">
        <f xml:space="preserve"> Checks!$F$9</f>
        <v>#VALUE!</v>
      </c>
      <c r="G2" s="7" t="s">
        <v>131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132</v>
      </c>
      <c r="G7" s="5" t="s">
        <v>133</v>
      </c>
      <c r="H7" s="5" t="s">
        <v>134</v>
      </c>
      <c r="I7" s="5" t="s">
        <v>135</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50"/>
      <c r="B8" s="61"/>
      <c r="C8" s="116"/>
      <c r="D8" s="55"/>
    </row>
    <row r="9" spans="1:82" x14ac:dyDescent="0.25">
      <c r="A9" s="285" t="s">
        <v>136</v>
      </c>
      <c r="B9" s="286"/>
      <c r="C9" s="287"/>
      <c r="D9" s="287"/>
      <c r="E9" s="287"/>
      <c r="F9" s="287"/>
      <c r="G9" s="287"/>
      <c r="H9" s="287"/>
      <c r="I9" s="287"/>
      <c r="J9" s="287"/>
      <c r="K9" s="287"/>
      <c r="L9" s="287"/>
      <c r="M9" s="287"/>
      <c r="N9" s="287"/>
      <c r="O9" s="287"/>
      <c r="P9" s="287"/>
      <c r="Q9" s="287"/>
      <c r="R9" s="287"/>
    </row>
    <row r="10" spans="1:82" x14ac:dyDescent="0.25">
      <c r="C10" s="9"/>
      <c r="E10" s="91"/>
    </row>
    <row r="11" spans="1:82" x14ac:dyDescent="0.25">
      <c r="C11" s="9"/>
      <c r="E11" s="91" t="s">
        <v>137</v>
      </c>
      <c r="F11" s="16">
        <v>42826</v>
      </c>
      <c r="G11" s="25" t="s">
        <v>138</v>
      </c>
    </row>
    <row r="12" spans="1:82" x14ac:dyDescent="0.25">
      <c r="C12" s="9"/>
      <c r="E12" s="91"/>
      <c r="F12" s="17"/>
    </row>
    <row r="13" spans="1:82" x14ac:dyDescent="0.25">
      <c r="C13" s="9"/>
      <c r="E13" s="91" t="s">
        <v>139</v>
      </c>
      <c r="F13" s="16">
        <v>43921</v>
      </c>
      <c r="G13" s="25" t="s">
        <v>138</v>
      </c>
    </row>
    <row r="14" spans="1:82" x14ac:dyDescent="0.25">
      <c r="C14" s="9"/>
      <c r="E14" s="92"/>
      <c r="F14" s="17"/>
      <c r="G14" s="18"/>
    </row>
    <row r="15" spans="1:82" x14ac:dyDescent="0.25">
      <c r="C15" s="9"/>
      <c r="E15" s="91" t="s">
        <v>140</v>
      </c>
      <c r="F15" s="16">
        <v>43921</v>
      </c>
      <c r="G15" s="25" t="s">
        <v>138</v>
      </c>
    </row>
    <row r="16" spans="1:82" x14ac:dyDescent="0.25">
      <c r="A16" s="24"/>
      <c r="B16" s="23"/>
      <c r="C16" s="23"/>
      <c r="D16" s="22"/>
      <c r="E16" s="92" t="s">
        <v>141</v>
      </c>
      <c r="F16" s="19">
        <v>5</v>
      </c>
      <c r="G16" s="20" t="s">
        <v>142</v>
      </c>
    </row>
    <row r="17" spans="1:19" x14ac:dyDescent="0.25">
      <c r="C17" s="9"/>
      <c r="E17" s="92" t="s">
        <v>143</v>
      </c>
      <c r="F17" s="17">
        <f>DATE(YEAR(F15)+F16,MONTH(F15),DAY(F15))</f>
        <v>45747</v>
      </c>
      <c r="G17" s="18" t="s">
        <v>138</v>
      </c>
    </row>
    <row r="18" spans="1:19" x14ac:dyDescent="0.25">
      <c r="C18" s="9"/>
      <c r="E18" s="91"/>
      <c r="F18" s="17"/>
    </row>
    <row r="19" spans="1:19" x14ac:dyDescent="0.25">
      <c r="C19" s="9"/>
      <c r="E19" s="91"/>
      <c r="F19" s="17"/>
    </row>
    <row r="20" spans="1:19" x14ac:dyDescent="0.25">
      <c r="C20" s="9"/>
      <c r="E20" s="91" t="s">
        <v>144</v>
      </c>
      <c r="F20" s="16">
        <v>44286</v>
      </c>
      <c r="G20" s="7" t="s">
        <v>138</v>
      </c>
    </row>
    <row r="21" spans="1:19" x14ac:dyDescent="0.25">
      <c r="C21" s="9"/>
      <c r="E21" s="91" t="s">
        <v>145</v>
      </c>
      <c r="F21" s="16">
        <v>45747</v>
      </c>
      <c r="G21" s="7" t="s">
        <v>138</v>
      </c>
    </row>
    <row r="22" spans="1:19" x14ac:dyDescent="0.25">
      <c r="C22" s="9"/>
      <c r="E22" s="91" t="s">
        <v>146</v>
      </c>
      <c r="F22" s="44">
        <v>2018</v>
      </c>
      <c r="G22" s="7" t="s">
        <v>147</v>
      </c>
    </row>
    <row r="23" spans="1:19" x14ac:dyDescent="0.25">
      <c r="C23" s="9"/>
      <c r="E23" s="91" t="s">
        <v>148</v>
      </c>
      <c r="F23" s="19">
        <v>3</v>
      </c>
      <c r="G23" s="7" t="s">
        <v>149</v>
      </c>
    </row>
    <row r="24" spans="1:19" x14ac:dyDescent="0.25">
      <c r="A24" s="50"/>
      <c r="B24" s="61"/>
      <c r="C24" s="116"/>
      <c r="D24" s="55"/>
    </row>
    <row r="25" spans="1:19" x14ac:dyDescent="0.25">
      <c r="A25" s="285" t="s">
        <v>150</v>
      </c>
      <c r="B25" s="286"/>
      <c r="C25" s="287"/>
      <c r="D25" s="287"/>
      <c r="E25" s="287"/>
      <c r="F25" s="287"/>
      <c r="G25" s="287"/>
      <c r="H25" s="287"/>
      <c r="I25" s="287"/>
      <c r="J25" s="287"/>
      <c r="K25" s="287"/>
      <c r="L25" s="287"/>
      <c r="M25" s="287"/>
      <c r="N25" s="287"/>
      <c r="O25" s="287"/>
      <c r="P25" s="287"/>
      <c r="Q25" s="287"/>
      <c r="R25" s="287"/>
    </row>
    <row r="26" spans="1:19" x14ac:dyDescent="0.25">
      <c r="A26" s="50"/>
      <c r="B26" s="61" t="s">
        <v>151</v>
      </c>
      <c r="C26" s="116"/>
      <c r="D26" s="55"/>
    </row>
    <row r="27" spans="1:19" x14ac:dyDescent="0.25">
      <c r="A27" s="50"/>
      <c r="B27" s="61"/>
      <c r="C27" s="116"/>
      <c r="D27" s="55"/>
      <c r="E27" s="91" t="s">
        <v>152</v>
      </c>
      <c r="G27" s="91" t="s">
        <v>153</v>
      </c>
      <c r="I27" s="6" t="s">
        <v>154</v>
      </c>
      <c r="J27" s="30"/>
      <c r="K27" s="228">
        <v>279.7</v>
      </c>
      <c r="L27" s="228">
        <v>288.2</v>
      </c>
      <c r="M27" s="228">
        <v>296.82</v>
      </c>
      <c r="N27" s="228">
        <v>305.33</v>
      </c>
      <c r="O27" s="228">
        <v>314.69</v>
      </c>
      <c r="P27" s="228">
        <v>324.76</v>
      </c>
      <c r="Q27" s="228">
        <v>335.15</v>
      </c>
      <c r="R27" s="228">
        <v>345.21</v>
      </c>
      <c r="S27" s="229"/>
    </row>
    <row r="28" spans="1:19" x14ac:dyDescent="0.25">
      <c r="A28" s="50"/>
      <c r="B28" s="61"/>
      <c r="C28" s="116"/>
      <c r="D28" s="55"/>
      <c r="E28" s="91" t="s">
        <v>155</v>
      </c>
      <c r="G28" s="91" t="s">
        <v>153</v>
      </c>
      <c r="I28" s="6" t="s">
        <v>156</v>
      </c>
      <c r="J28" s="30"/>
      <c r="K28" s="228">
        <v>280.7</v>
      </c>
      <c r="L28" s="228">
        <v>289.2</v>
      </c>
      <c r="M28" s="228">
        <v>297.5</v>
      </c>
      <c r="N28" s="228">
        <v>306.08</v>
      </c>
      <c r="O28" s="228">
        <v>315.52</v>
      </c>
      <c r="P28" s="228">
        <v>325.62</v>
      </c>
      <c r="Q28" s="228">
        <v>336.04</v>
      </c>
      <c r="R28" s="228">
        <v>346.12</v>
      </c>
      <c r="S28" s="229"/>
    </row>
    <row r="29" spans="1:19" x14ac:dyDescent="0.25">
      <c r="A29" s="50"/>
      <c r="B29" s="61"/>
      <c r="C29" s="116"/>
      <c r="D29" s="55"/>
      <c r="E29" s="91" t="s">
        <v>157</v>
      </c>
      <c r="G29" s="91" t="s">
        <v>153</v>
      </c>
      <c r="I29" s="6" t="s">
        <v>158</v>
      </c>
      <c r="J29" s="30"/>
      <c r="K29" s="228">
        <v>281.5</v>
      </c>
      <c r="L29" s="228">
        <v>289.60000000000002</v>
      </c>
      <c r="M29" s="228">
        <v>298.19</v>
      </c>
      <c r="N29" s="228">
        <v>306.83999999999997</v>
      </c>
      <c r="O29" s="228">
        <v>316.35000000000002</v>
      </c>
      <c r="P29" s="228">
        <v>326.47000000000003</v>
      </c>
      <c r="Q29" s="228">
        <v>336.92</v>
      </c>
      <c r="R29" s="228">
        <v>347.03</v>
      </c>
      <c r="S29" s="229"/>
    </row>
    <row r="30" spans="1:19" x14ac:dyDescent="0.25">
      <c r="A30" s="50"/>
      <c r="B30" s="61"/>
      <c r="C30" s="116"/>
      <c r="D30" s="55"/>
      <c r="E30" s="91" t="s">
        <v>159</v>
      </c>
      <c r="G30" s="91" t="s">
        <v>153</v>
      </c>
      <c r="I30" s="6" t="s">
        <v>160</v>
      </c>
      <c r="J30" s="30"/>
      <c r="K30" s="228">
        <v>281.7</v>
      </c>
      <c r="L30" s="228">
        <v>289.5</v>
      </c>
      <c r="M30" s="228">
        <v>298.88</v>
      </c>
      <c r="N30" s="228">
        <v>307.58999999999997</v>
      </c>
      <c r="O30" s="228">
        <v>317.18</v>
      </c>
      <c r="P30" s="228">
        <v>327.33</v>
      </c>
      <c r="Q30" s="228">
        <v>337.8</v>
      </c>
      <c r="R30" s="228">
        <v>347.94</v>
      </c>
      <c r="S30" s="229"/>
    </row>
    <row r="31" spans="1:19" x14ac:dyDescent="0.25">
      <c r="A31" s="50"/>
      <c r="B31" s="61"/>
      <c r="C31" s="116"/>
      <c r="D31" s="55"/>
      <c r="E31" s="91" t="s">
        <v>161</v>
      </c>
      <c r="G31" s="91" t="s">
        <v>153</v>
      </c>
      <c r="I31" s="6" t="s">
        <v>162</v>
      </c>
      <c r="J31" s="30"/>
      <c r="K31" s="228">
        <v>284.2</v>
      </c>
      <c r="L31" s="228">
        <v>291.5</v>
      </c>
      <c r="M31" s="228">
        <v>299.56</v>
      </c>
      <c r="N31" s="228">
        <v>308.35000000000002</v>
      </c>
      <c r="O31" s="228">
        <v>318.01</v>
      </c>
      <c r="P31" s="228">
        <v>328.19</v>
      </c>
      <c r="Q31" s="228">
        <v>338.69</v>
      </c>
      <c r="R31" s="228">
        <v>348.85</v>
      </c>
      <c r="S31" s="229"/>
    </row>
    <row r="32" spans="1:19" x14ac:dyDescent="0.25">
      <c r="A32" s="50"/>
      <c r="B32" s="61"/>
      <c r="C32" s="116"/>
      <c r="D32" s="55"/>
      <c r="E32" s="91" t="s">
        <v>163</v>
      </c>
      <c r="G32" s="91" t="s">
        <v>153</v>
      </c>
      <c r="I32" s="6" t="s">
        <v>164</v>
      </c>
      <c r="J32" s="30"/>
      <c r="K32" s="228">
        <v>284.10000000000002</v>
      </c>
      <c r="L32" s="228">
        <v>292.14999999999998</v>
      </c>
      <c r="M32" s="228">
        <v>300.25</v>
      </c>
      <c r="N32" s="228">
        <v>309.11</v>
      </c>
      <c r="O32" s="228">
        <v>318.85000000000002</v>
      </c>
      <c r="P32" s="228">
        <v>329.05</v>
      </c>
      <c r="Q32" s="228">
        <v>339.58</v>
      </c>
      <c r="R32" s="228">
        <v>349.77</v>
      </c>
      <c r="S32" s="229"/>
    </row>
    <row r="33" spans="1:19" x14ac:dyDescent="0.25">
      <c r="A33" s="50"/>
      <c r="B33" s="61"/>
      <c r="C33" s="116"/>
      <c r="D33" s="55"/>
      <c r="E33" s="91" t="s">
        <v>165</v>
      </c>
      <c r="G33" s="91" t="s">
        <v>153</v>
      </c>
      <c r="I33" s="6" t="s">
        <v>166</v>
      </c>
      <c r="J33" s="30"/>
      <c r="K33" s="228">
        <v>284.5</v>
      </c>
      <c r="L33" s="228">
        <v>292.8</v>
      </c>
      <c r="M33" s="228">
        <v>300.95</v>
      </c>
      <c r="N33" s="228">
        <v>309.87</v>
      </c>
      <c r="O33" s="228">
        <v>319.69</v>
      </c>
      <c r="P33" s="228">
        <v>329.92</v>
      </c>
      <c r="Q33" s="228">
        <v>340.47</v>
      </c>
      <c r="R33" s="228">
        <v>350.69</v>
      </c>
      <c r="S33" s="229"/>
    </row>
    <row r="34" spans="1:19" x14ac:dyDescent="0.25">
      <c r="A34" s="50"/>
      <c r="B34" s="61"/>
      <c r="C34" s="116"/>
      <c r="D34" s="55"/>
      <c r="E34" s="91" t="s">
        <v>167</v>
      </c>
      <c r="G34" s="91" t="s">
        <v>153</v>
      </c>
      <c r="I34" s="6" t="s">
        <v>168</v>
      </c>
      <c r="J34" s="30"/>
      <c r="K34" s="228">
        <v>284.60000000000002</v>
      </c>
      <c r="L34" s="228">
        <v>293.45</v>
      </c>
      <c r="M34" s="228">
        <v>301.64</v>
      </c>
      <c r="N34" s="228">
        <v>310.64</v>
      </c>
      <c r="O34" s="228">
        <v>320.52999999999997</v>
      </c>
      <c r="P34" s="228">
        <v>330.78</v>
      </c>
      <c r="Q34" s="228">
        <v>341.37</v>
      </c>
      <c r="R34" s="228">
        <v>351.61</v>
      </c>
      <c r="S34" s="229"/>
    </row>
    <row r="35" spans="1:19" x14ac:dyDescent="0.25">
      <c r="A35" s="50"/>
      <c r="B35" s="61"/>
      <c r="C35" s="116"/>
      <c r="D35" s="55"/>
      <c r="E35" s="91" t="s">
        <v>169</v>
      </c>
      <c r="G35" s="91" t="s">
        <v>153</v>
      </c>
      <c r="I35" s="6" t="s">
        <v>170</v>
      </c>
      <c r="J35" s="30"/>
      <c r="K35" s="228">
        <v>285.60000000000002</v>
      </c>
      <c r="L35" s="228">
        <v>294.10000000000002</v>
      </c>
      <c r="M35" s="228">
        <v>302.33999999999997</v>
      </c>
      <c r="N35" s="228">
        <v>311.41000000000003</v>
      </c>
      <c r="O35" s="228">
        <v>321.37</v>
      </c>
      <c r="P35" s="228">
        <v>331.65</v>
      </c>
      <c r="Q35" s="228">
        <v>342.27</v>
      </c>
      <c r="R35" s="228">
        <v>352.53</v>
      </c>
      <c r="S35" s="229"/>
    </row>
    <row r="36" spans="1:19" x14ac:dyDescent="0.25">
      <c r="A36" s="50"/>
      <c r="B36" s="61"/>
      <c r="C36" s="116"/>
      <c r="D36" s="55"/>
      <c r="E36" s="91" t="s">
        <v>171</v>
      </c>
      <c r="G36" s="91" t="s">
        <v>153</v>
      </c>
      <c r="I36" s="6" t="s">
        <v>172</v>
      </c>
      <c r="J36" s="30"/>
      <c r="K36" s="228">
        <v>283</v>
      </c>
      <c r="L36" s="228">
        <v>294.77999999999997</v>
      </c>
      <c r="M36" s="228">
        <v>303.08</v>
      </c>
      <c r="N36" s="228">
        <v>312.22000000000003</v>
      </c>
      <c r="O36" s="228">
        <v>322.20999999999998</v>
      </c>
      <c r="P36" s="228">
        <v>332.53</v>
      </c>
      <c r="Q36" s="228">
        <v>343.17</v>
      </c>
      <c r="R36" s="228">
        <v>353.46</v>
      </c>
      <c r="S36" s="229"/>
    </row>
    <row r="37" spans="1:19" x14ac:dyDescent="0.25">
      <c r="A37" s="50"/>
      <c r="B37" s="61"/>
      <c r="C37" s="116"/>
      <c r="D37" s="55"/>
      <c r="E37" s="91" t="s">
        <v>173</v>
      </c>
      <c r="G37" s="91" t="s">
        <v>153</v>
      </c>
      <c r="I37" s="6" t="s">
        <v>174</v>
      </c>
      <c r="J37" s="30"/>
      <c r="K37" s="228">
        <v>285</v>
      </c>
      <c r="L37" s="228">
        <v>295.45999999999998</v>
      </c>
      <c r="M37" s="228">
        <v>303.83</v>
      </c>
      <c r="N37" s="228">
        <v>313.04000000000002</v>
      </c>
      <c r="O37" s="228">
        <v>323.06</v>
      </c>
      <c r="P37" s="228">
        <v>333.4</v>
      </c>
      <c r="Q37" s="228">
        <v>344.07</v>
      </c>
      <c r="R37" s="228">
        <v>354.39</v>
      </c>
      <c r="S37" s="229"/>
    </row>
    <row r="38" spans="1:19" x14ac:dyDescent="0.25">
      <c r="A38" s="50"/>
      <c r="B38" s="61"/>
      <c r="C38" s="116"/>
      <c r="D38" s="55"/>
      <c r="E38" s="91" t="s">
        <v>175</v>
      </c>
      <c r="G38" s="91" t="s">
        <v>153</v>
      </c>
      <c r="I38" s="6" t="s">
        <v>176</v>
      </c>
      <c r="J38" s="30"/>
      <c r="K38" s="228">
        <v>285.10000000000002</v>
      </c>
      <c r="L38" s="228">
        <v>296.14</v>
      </c>
      <c r="M38" s="228">
        <v>304.58</v>
      </c>
      <c r="N38" s="228">
        <v>313.87</v>
      </c>
      <c r="O38" s="228">
        <v>323.91000000000003</v>
      </c>
      <c r="P38" s="228">
        <v>334.28</v>
      </c>
      <c r="Q38" s="228">
        <v>344.97</v>
      </c>
      <c r="R38" s="228">
        <v>355.32</v>
      </c>
      <c r="S38" s="229"/>
    </row>
    <row r="39" spans="1:19" x14ac:dyDescent="0.25">
      <c r="A39" s="49"/>
      <c r="B39" s="61"/>
      <c r="C39" s="116"/>
      <c r="D39" s="57"/>
      <c r="E39" s="92"/>
      <c r="F39" s="92"/>
      <c r="G39" s="92"/>
      <c r="I39" s="167"/>
      <c r="K39" s="294"/>
      <c r="L39" s="294"/>
      <c r="M39" s="294"/>
      <c r="N39" s="294"/>
      <c r="O39" s="294"/>
      <c r="P39" s="294"/>
      <c r="Q39" s="294"/>
      <c r="R39" s="294"/>
    </row>
    <row r="40" spans="1:19" x14ac:dyDescent="0.25">
      <c r="A40" s="50"/>
      <c r="B40" s="61" t="s">
        <v>177</v>
      </c>
      <c r="C40" s="116"/>
      <c r="D40" s="55"/>
      <c r="I40" s="6"/>
    </row>
    <row r="41" spans="1:19" x14ac:dyDescent="0.25">
      <c r="A41" s="50"/>
      <c r="B41" s="61"/>
      <c r="C41" s="116"/>
      <c r="D41" s="55"/>
      <c r="E41" s="91" t="s">
        <v>178</v>
      </c>
      <c r="G41" s="91" t="s">
        <v>153</v>
      </c>
      <c r="I41" s="6" t="s">
        <v>179</v>
      </c>
      <c r="J41" s="228">
        <v>103.2</v>
      </c>
      <c r="K41" s="228">
        <v>105.5</v>
      </c>
      <c r="L41" s="228">
        <v>107.6</v>
      </c>
      <c r="M41" s="228">
        <v>109.7</v>
      </c>
      <c r="N41" s="228">
        <v>111.9</v>
      </c>
      <c r="O41" s="228">
        <v>114.17</v>
      </c>
      <c r="P41" s="228">
        <v>116.57</v>
      </c>
      <c r="Q41" s="228">
        <v>119.02</v>
      </c>
      <c r="R41" s="228">
        <v>121.4</v>
      </c>
      <c r="S41" s="229"/>
    </row>
    <row r="42" spans="1:19" x14ac:dyDescent="0.25">
      <c r="A42" s="50"/>
      <c r="B42" s="61"/>
      <c r="C42" s="116"/>
      <c r="D42" s="55"/>
      <c r="E42" s="91" t="s">
        <v>180</v>
      </c>
      <c r="G42" s="91" t="s">
        <v>153</v>
      </c>
      <c r="I42" s="6" t="s">
        <v>181</v>
      </c>
      <c r="J42" s="228">
        <v>103.5</v>
      </c>
      <c r="K42" s="228">
        <v>105.9</v>
      </c>
      <c r="L42" s="228">
        <v>107.9</v>
      </c>
      <c r="M42" s="228">
        <v>109.88</v>
      </c>
      <c r="N42" s="228">
        <v>112.08</v>
      </c>
      <c r="O42" s="228">
        <v>114.37</v>
      </c>
      <c r="P42" s="228">
        <v>116.77</v>
      </c>
      <c r="Q42" s="228">
        <v>119.22</v>
      </c>
      <c r="R42" s="228">
        <v>121.61</v>
      </c>
      <c r="S42" s="229"/>
    </row>
    <row r="43" spans="1:19" x14ac:dyDescent="0.25">
      <c r="A43" s="50"/>
      <c r="B43" s="61"/>
      <c r="C43" s="116"/>
      <c r="D43" s="55"/>
      <c r="E43" s="91" t="s">
        <v>182</v>
      </c>
      <c r="G43" s="91" t="s">
        <v>153</v>
      </c>
      <c r="I43" s="6" t="s">
        <v>183</v>
      </c>
      <c r="J43" s="228">
        <v>103.5</v>
      </c>
      <c r="K43" s="228">
        <v>105.9</v>
      </c>
      <c r="L43" s="228">
        <v>107.9</v>
      </c>
      <c r="M43" s="228">
        <v>110.07</v>
      </c>
      <c r="N43" s="228">
        <v>112.27</v>
      </c>
      <c r="O43" s="228">
        <v>114.57</v>
      </c>
      <c r="P43" s="228">
        <v>116.97</v>
      </c>
      <c r="Q43" s="228">
        <v>119.43</v>
      </c>
      <c r="R43" s="228">
        <v>121.82</v>
      </c>
      <c r="S43" s="229"/>
    </row>
    <row r="44" spans="1:19" x14ac:dyDescent="0.25">
      <c r="A44" s="50"/>
      <c r="B44" s="61"/>
      <c r="C44" s="116"/>
      <c r="D44" s="55"/>
      <c r="E44" s="91" t="s">
        <v>184</v>
      </c>
      <c r="G44" s="91" t="s">
        <v>153</v>
      </c>
      <c r="I44" s="6" t="s">
        <v>185</v>
      </c>
      <c r="J44" s="228">
        <v>103.5</v>
      </c>
      <c r="K44" s="228">
        <v>105.9</v>
      </c>
      <c r="L44" s="228">
        <v>108</v>
      </c>
      <c r="M44" s="228">
        <v>110.25</v>
      </c>
      <c r="N44" s="228">
        <v>112.45</v>
      </c>
      <c r="O44" s="228">
        <v>114.77</v>
      </c>
      <c r="P44" s="228">
        <v>117.18</v>
      </c>
      <c r="Q44" s="228">
        <v>119.64</v>
      </c>
      <c r="R44" s="228">
        <v>122.03</v>
      </c>
      <c r="S44" s="229"/>
    </row>
    <row r="45" spans="1:19" x14ac:dyDescent="0.25">
      <c r="A45" s="50"/>
      <c r="B45" s="61"/>
      <c r="C45" s="116"/>
      <c r="D45" s="55"/>
      <c r="E45" s="91" t="s">
        <v>186</v>
      </c>
      <c r="G45" s="91" t="s">
        <v>153</v>
      </c>
      <c r="I45" s="6" t="s">
        <v>187</v>
      </c>
      <c r="J45" s="228">
        <v>104</v>
      </c>
      <c r="K45" s="228">
        <v>106.5</v>
      </c>
      <c r="L45" s="228">
        <v>108.3</v>
      </c>
      <c r="M45" s="228">
        <v>110.43</v>
      </c>
      <c r="N45" s="228">
        <v>112.64</v>
      </c>
      <c r="O45" s="228">
        <v>114.97</v>
      </c>
      <c r="P45" s="228">
        <v>117.38</v>
      </c>
      <c r="Q45" s="228">
        <v>119.85</v>
      </c>
      <c r="R45" s="228">
        <v>122.24</v>
      </c>
      <c r="S45" s="229"/>
    </row>
    <row r="46" spans="1:19" x14ac:dyDescent="0.25">
      <c r="A46" s="50"/>
      <c r="B46" s="61"/>
      <c r="C46" s="116"/>
      <c r="D46" s="55"/>
      <c r="E46" s="91" t="s">
        <v>188</v>
      </c>
      <c r="G46" s="91" t="s">
        <v>153</v>
      </c>
      <c r="I46" s="6" t="s">
        <v>189</v>
      </c>
      <c r="J46" s="228">
        <v>104.3</v>
      </c>
      <c r="K46" s="228">
        <v>106.6</v>
      </c>
      <c r="L46" s="228">
        <v>108.47</v>
      </c>
      <c r="M46" s="228">
        <v>110.61</v>
      </c>
      <c r="N46" s="228">
        <v>112.82</v>
      </c>
      <c r="O46" s="228">
        <v>115.17</v>
      </c>
      <c r="P46" s="228">
        <v>117.58</v>
      </c>
      <c r="Q46" s="228">
        <v>120.05</v>
      </c>
      <c r="R46" s="228">
        <v>122.45</v>
      </c>
      <c r="S46" s="229"/>
    </row>
    <row r="47" spans="1:19" x14ac:dyDescent="0.25">
      <c r="A47" s="50"/>
      <c r="B47" s="61"/>
      <c r="C47" s="116"/>
      <c r="D47" s="55"/>
      <c r="E47" s="91" t="s">
        <v>190</v>
      </c>
      <c r="G47" s="91" t="s">
        <v>153</v>
      </c>
      <c r="I47" s="6" t="s">
        <v>191</v>
      </c>
      <c r="J47" s="228">
        <v>104.4</v>
      </c>
      <c r="K47" s="228">
        <v>106.7</v>
      </c>
      <c r="L47" s="228">
        <v>108.64</v>
      </c>
      <c r="M47" s="228">
        <v>110.79</v>
      </c>
      <c r="N47" s="228">
        <v>113.01</v>
      </c>
      <c r="O47" s="228">
        <v>115.37</v>
      </c>
      <c r="P47" s="228">
        <v>117.79</v>
      </c>
      <c r="Q47" s="228">
        <v>120.26</v>
      </c>
      <c r="R47" s="228">
        <v>122.67</v>
      </c>
      <c r="S47" s="229"/>
    </row>
    <row r="48" spans="1:19" x14ac:dyDescent="0.25">
      <c r="A48" s="50"/>
      <c r="B48" s="61"/>
      <c r="C48" s="116"/>
      <c r="D48" s="55"/>
      <c r="E48" s="91" t="s">
        <v>192</v>
      </c>
      <c r="G48" s="91" t="s">
        <v>153</v>
      </c>
      <c r="I48" s="6" t="s">
        <v>193</v>
      </c>
      <c r="J48" s="228">
        <v>104.7</v>
      </c>
      <c r="K48" s="228">
        <v>106.9</v>
      </c>
      <c r="L48" s="228">
        <v>108.81</v>
      </c>
      <c r="M48" s="228">
        <v>110.98</v>
      </c>
      <c r="N48" s="228">
        <v>113.2</v>
      </c>
      <c r="O48" s="228">
        <v>115.57</v>
      </c>
      <c r="P48" s="228">
        <v>117.99</v>
      </c>
      <c r="Q48" s="228">
        <v>120.47</v>
      </c>
      <c r="R48" s="228">
        <v>122.88</v>
      </c>
      <c r="S48" s="229"/>
    </row>
    <row r="49" spans="1:19" x14ac:dyDescent="0.25">
      <c r="A49" s="50"/>
      <c r="B49" s="61"/>
      <c r="C49" s="116"/>
      <c r="D49" s="55"/>
      <c r="E49" s="91" t="s">
        <v>194</v>
      </c>
      <c r="G49" s="91" t="s">
        <v>153</v>
      </c>
      <c r="I49" s="6" t="s">
        <v>195</v>
      </c>
      <c r="J49" s="228">
        <v>105</v>
      </c>
      <c r="K49" s="228">
        <v>107.1</v>
      </c>
      <c r="L49" s="228">
        <v>108.98</v>
      </c>
      <c r="M49" s="228">
        <v>111.16</v>
      </c>
      <c r="N49" s="228">
        <v>113.38</v>
      </c>
      <c r="O49" s="228">
        <v>115.77</v>
      </c>
      <c r="P49" s="228">
        <v>118.2</v>
      </c>
      <c r="Q49" s="228">
        <v>120.68</v>
      </c>
      <c r="R49" s="228">
        <v>123.09</v>
      </c>
      <c r="S49" s="229"/>
    </row>
    <row r="50" spans="1:19" x14ac:dyDescent="0.25">
      <c r="A50" s="50"/>
      <c r="B50" s="61"/>
      <c r="C50" s="116"/>
      <c r="D50" s="55"/>
      <c r="E50" s="91" t="s">
        <v>196</v>
      </c>
      <c r="G50" s="91" t="s">
        <v>153</v>
      </c>
      <c r="I50" s="6" t="s">
        <v>197</v>
      </c>
      <c r="J50" s="228">
        <v>104.5</v>
      </c>
      <c r="K50" s="228">
        <v>106.4</v>
      </c>
      <c r="L50" s="228">
        <v>109.16</v>
      </c>
      <c r="M50" s="228">
        <v>111.34</v>
      </c>
      <c r="N50" s="228">
        <v>113.58</v>
      </c>
      <c r="O50" s="228">
        <v>115.97</v>
      </c>
      <c r="P50" s="228">
        <v>118.4</v>
      </c>
      <c r="Q50" s="228">
        <v>120.89</v>
      </c>
      <c r="R50" s="228">
        <v>123.31</v>
      </c>
      <c r="S50" s="229"/>
    </row>
    <row r="51" spans="1:19" x14ac:dyDescent="0.25">
      <c r="A51" s="50"/>
      <c r="B51" s="61"/>
      <c r="C51" s="116"/>
      <c r="D51" s="55"/>
      <c r="E51" s="91" t="s">
        <v>198</v>
      </c>
      <c r="G51" s="91" t="s">
        <v>153</v>
      </c>
      <c r="I51" s="6" t="s">
        <v>199</v>
      </c>
      <c r="J51" s="228">
        <v>104.9</v>
      </c>
      <c r="K51" s="228">
        <v>106.8</v>
      </c>
      <c r="L51" s="228">
        <v>109.34</v>
      </c>
      <c r="M51" s="228">
        <v>111.53</v>
      </c>
      <c r="N51" s="228">
        <v>113.78</v>
      </c>
      <c r="O51" s="228">
        <v>116.17</v>
      </c>
      <c r="P51" s="228">
        <v>118.61</v>
      </c>
      <c r="Q51" s="228">
        <v>121.1</v>
      </c>
      <c r="R51" s="228">
        <v>123.52</v>
      </c>
      <c r="S51" s="229"/>
    </row>
    <row r="52" spans="1:19" x14ac:dyDescent="0.25">
      <c r="A52" s="50"/>
      <c r="B52" s="61"/>
      <c r="C52" s="116"/>
      <c r="D52" s="55"/>
      <c r="E52" s="91" t="s">
        <v>200</v>
      </c>
      <c r="F52" s="91"/>
      <c r="G52" s="91" t="s">
        <v>153</v>
      </c>
      <c r="I52" s="6" t="s">
        <v>201</v>
      </c>
      <c r="J52" s="228">
        <v>105.1</v>
      </c>
      <c r="K52" s="228">
        <v>107</v>
      </c>
      <c r="L52" s="228">
        <v>109.52</v>
      </c>
      <c r="M52" s="228">
        <v>111.71</v>
      </c>
      <c r="N52" s="228">
        <v>113.98</v>
      </c>
      <c r="O52" s="228">
        <v>116.37</v>
      </c>
      <c r="P52" s="228">
        <v>118.81</v>
      </c>
      <c r="Q52" s="228">
        <v>121.31</v>
      </c>
      <c r="R52" s="228">
        <v>123.73</v>
      </c>
      <c r="S52" s="229"/>
    </row>
    <row r="53" spans="1:19" x14ac:dyDescent="0.25">
      <c r="A53" s="50"/>
      <c r="B53" s="61"/>
      <c r="C53" s="116"/>
      <c r="D53" s="55"/>
      <c r="I53" s="6"/>
    </row>
    <row r="54" spans="1:19" x14ac:dyDescent="0.25">
      <c r="A54" s="285" t="s">
        <v>202</v>
      </c>
      <c r="B54" s="286"/>
      <c r="C54" s="287"/>
      <c r="D54" s="287"/>
      <c r="E54" s="287"/>
      <c r="F54" s="287"/>
      <c r="G54" s="287"/>
      <c r="H54" s="287"/>
      <c r="I54" s="287"/>
      <c r="J54" s="287"/>
      <c r="K54" s="287"/>
      <c r="L54" s="287"/>
      <c r="M54" s="287"/>
      <c r="N54" s="287"/>
      <c r="O54" s="287"/>
      <c r="P54" s="287"/>
      <c r="Q54" s="287"/>
      <c r="R54" s="287"/>
    </row>
    <row r="55" spans="1:19" x14ac:dyDescent="0.25">
      <c r="A55" s="50"/>
      <c r="B55" s="61" t="s">
        <v>203</v>
      </c>
      <c r="C55" s="116"/>
      <c r="D55" s="55"/>
      <c r="I55" s="6"/>
    </row>
    <row r="56" spans="1:19" x14ac:dyDescent="0.25">
      <c r="A56" s="50"/>
      <c r="B56" s="61"/>
      <c r="C56" s="116"/>
      <c r="D56" s="55"/>
      <c r="E56" s="91" t="s">
        <v>204</v>
      </c>
      <c r="G56" s="91" t="s">
        <v>153</v>
      </c>
      <c r="I56" s="6" t="s">
        <v>205</v>
      </c>
      <c r="J56" s="30"/>
      <c r="K56" s="228">
        <v>279.7</v>
      </c>
      <c r="L56" s="228">
        <v>288.2</v>
      </c>
      <c r="M56" s="228">
        <v>292.60000000000002</v>
      </c>
      <c r="N56" s="228">
        <v>301.10000000000002</v>
      </c>
      <c r="O56" s="228">
        <v>334.6</v>
      </c>
      <c r="P56" s="228">
        <v>377.8</v>
      </c>
      <c r="Q56" s="228">
        <v>387.9</v>
      </c>
      <c r="R56" s="228">
        <f>ROUND(Q56*1.03,1)</f>
        <v>399.5</v>
      </c>
    </row>
    <row r="57" spans="1:19" x14ac:dyDescent="0.25">
      <c r="A57" s="50"/>
      <c r="B57" s="61"/>
      <c r="C57" s="116"/>
      <c r="D57" s="55"/>
      <c r="E57" s="91" t="s">
        <v>206</v>
      </c>
      <c r="G57" s="91" t="s">
        <v>153</v>
      </c>
      <c r="I57" s="6" t="s">
        <v>205</v>
      </c>
      <c r="J57" s="30"/>
      <c r="K57" s="228">
        <v>280.7</v>
      </c>
      <c r="L57" s="228">
        <v>289.2</v>
      </c>
      <c r="M57" s="228">
        <v>292.2</v>
      </c>
      <c r="N57" s="228">
        <v>301.89999999999998</v>
      </c>
      <c r="O57" s="228">
        <v>337.1</v>
      </c>
      <c r="P57" s="228">
        <v>380.6</v>
      </c>
      <c r="Q57" s="228">
        <v>390.8</v>
      </c>
      <c r="R57" s="228">
        <f t="shared" ref="R57:R67" si="0">ROUND(Q57*1.03,1)</f>
        <v>402.5</v>
      </c>
    </row>
    <row r="58" spans="1:19" x14ac:dyDescent="0.25">
      <c r="A58" s="50"/>
      <c r="B58" s="61"/>
      <c r="C58" s="116"/>
      <c r="D58" s="55"/>
      <c r="E58" s="91" t="s">
        <v>207</v>
      </c>
      <c r="G58" s="91" t="s">
        <v>153</v>
      </c>
      <c r="I58" s="6" t="s">
        <v>205</v>
      </c>
      <c r="J58" s="30"/>
      <c r="K58" s="228">
        <v>281.5</v>
      </c>
      <c r="L58" s="228">
        <v>289.60000000000002</v>
      </c>
      <c r="M58" s="228">
        <v>292.7</v>
      </c>
      <c r="N58" s="228">
        <v>304</v>
      </c>
      <c r="O58" s="228">
        <v>340</v>
      </c>
      <c r="P58" s="228">
        <v>383.9</v>
      </c>
      <c r="Q58" s="228">
        <v>394.2</v>
      </c>
      <c r="R58" s="228">
        <f t="shared" si="0"/>
        <v>406</v>
      </c>
    </row>
    <row r="59" spans="1:19" x14ac:dyDescent="0.25">
      <c r="A59" s="50"/>
      <c r="B59" s="61"/>
      <c r="C59" s="116"/>
      <c r="D59" s="55"/>
      <c r="E59" s="91" t="s">
        <v>208</v>
      </c>
      <c r="G59" s="91" t="s">
        <v>153</v>
      </c>
      <c r="I59" s="6" t="s">
        <v>205</v>
      </c>
      <c r="J59" s="30"/>
      <c r="K59" s="228">
        <v>281.7</v>
      </c>
      <c r="L59" s="228">
        <v>289.5</v>
      </c>
      <c r="M59" s="228">
        <v>294.2</v>
      </c>
      <c r="N59" s="228">
        <v>305.5</v>
      </c>
      <c r="O59" s="228">
        <v>343.2</v>
      </c>
      <c r="P59" s="228">
        <v>377.9</v>
      </c>
      <c r="Q59" s="228">
        <v>383.9</v>
      </c>
      <c r="R59" s="228">
        <f t="shared" si="0"/>
        <v>395.4</v>
      </c>
    </row>
    <row r="60" spans="1:19" x14ac:dyDescent="0.25">
      <c r="A60" s="50"/>
      <c r="B60" s="61"/>
      <c r="C60" s="116"/>
      <c r="D60" s="55"/>
      <c r="E60" s="91" t="s">
        <v>209</v>
      </c>
      <c r="G60" s="91" t="s">
        <v>153</v>
      </c>
      <c r="I60" s="6" t="s">
        <v>205</v>
      </c>
      <c r="J60" s="30"/>
      <c r="K60" s="228">
        <v>284.2</v>
      </c>
      <c r="L60" s="228">
        <v>291.7</v>
      </c>
      <c r="M60" s="228">
        <v>293.3</v>
      </c>
      <c r="N60" s="228">
        <v>307.39999999999998</v>
      </c>
      <c r="O60" s="228">
        <v>345.2</v>
      </c>
      <c r="P60" s="228">
        <v>380.1</v>
      </c>
      <c r="Q60" s="228">
        <v>386.1</v>
      </c>
      <c r="R60" s="228">
        <f t="shared" si="0"/>
        <v>397.7</v>
      </c>
    </row>
    <row r="61" spans="1:19" x14ac:dyDescent="0.25">
      <c r="A61" s="50"/>
      <c r="B61" s="61"/>
      <c r="C61" s="116"/>
      <c r="D61" s="55"/>
      <c r="E61" s="91" t="s">
        <v>210</v>
      </c>
      <c r="G61" s="91" t="s">
        <v>153</v>
      </c>
      <c r="I61" s="6" t="s">
        <v>205</v>
      </c>
      <c r="J61" s="30"/>
      <c r="K61" s="228">
        <v>284.10000000000002</v>
      </c>
      <c r="L61" s="228">
        <v>291</v>
      </c>
      <c r="M61" s="228">
        <v>294.3</v>
      </c>
      <c r="N61" s="228">
        <v>308.60000000000002</v>
      </c>
      <c r="O61" s="228">
        <v>347.6</v>
      </c>
      <c r="P61" s="228">
        <v>382.7</v>
      </c>
      <c r="Q61" s="228">
        <v>388.8</v>
      </c>
      <c r="R61" s="228">
        <f t="shared" si="0"/>
        <v>400.5</v>
      </c>
    </row>
    <row r="62" spans="1:19" x14ac:dyDescent="0.25">
      <c r="A62" s="50"/>
      <c r="B62" s="61"/>
      <c r="C62" s="116"/>
      <c r="D62" s="55"/>
      <c r="E62" s="91" t="s">
        <v>211</v>
      </c>
      <c r="G62" s="91" t="s">
        <v>153</v>
      </c>
      <c r="I62" s="6" t="s">
        <v>205</v>
      </c>
      <c r="J62" s="30"/>
      <c r="K62" s="228">
        <v>284.5</v>
      </c>
      <c r="L62" s="228">
        <v>290.39999999999998</v>
      </c>
      <c r="M62" s="228">
        <v>294.3</v>
      </c>
      <c r="N62" s="228">
        <v>312</v>
      </c>
      <c r="O62" s="228">
        <v>356.2</v>
      </c>
      <c r="P62" s="228">
        <v>385.1</v>
      </c>
      <c r="Q62" s="228">
        <v>389.7</v>
      </c>
      <c r="R62" s="228">
        <f t="shared" si="0"/>
        <v>401.4</v>
      </c>
    </row>
    <row r="63" spans="1:19" x14ac:dyDescent="0.25">
      <c r="A63" s="50"/>
      <c r="B63" s="61"/>
      <c r="C63" s="116"/>
      <c r="D63" s="55"/>
      <c r="E63" s="91" t="s">
        <v>212</v>
      </c>
      <c r="G63" s="91" t="s">
        <v>153</v>
      </c>
      <c r="I63" s="6" t="s">
        <v>205</v>
      </c>
      <c r="J63" s="30"/>
      <c r="K63" s="228">
        <v>284.60000000000002</v>
      </c>
      <c r="L63" s="228">
        <v>291</v>
      </c>
      <c r="M63" s="228">
        <v>293.5</v>
      </c>
      <c r="N63" s="228">
        <v>314.3</v>
      </c>
      <c r="O63" s="228">
        <v>358.3</v>
      </c>
      <c r="P63" s="228">
        <v>387.3</v>
      </c>
      <c r="Q63" s="228">
        <v>391.9</v>
      </c>
      <c r="R63" s="228">
        <f t="shared" si="0"/>
        <v>403.7</v>
      </c>
    </row>
    <row r="64" spans="1:19" x14ac:dyDescent="0.25">
      <c r="A64" s="50"/>
      <c r="B64" s="61"/>
      <c r="C64" s="116"/>
      <c r="D64" s="55"/>
      <c r="E64" s="91" t="s">
        <v>213</v>
      </c>
      <c r="G64" s="91" t="s">
        <v>153</v>
      </c>
      <c r="I64" s="6" t="s">
        <v>205</v>
      </c>
      <c r="J64" s="30"/>
      <c r="K64" s="228">
        <v>285.60000000000002</v>
      </c>
      <c r="L64" s="228">
        <v>291.89999999999998</v>
      </c>
      <c r="M64" s="228">
        <v>295.39999999999998</v>
      </c>
      <c r="N64" s="228">
        <v>317.7</v>
      </c>
      <c r="O64" s="228">
        <v>360.4</v>
      </c>
      <c r="P64" s="228">
        <v>389.6</v>
      </c>
      <c r="Q64" s="228">
        <v>394.2</v>
      </c>
      <c r="R64" s="228">
        <f t="shared" si="0"/>
        <v>406</v>
      </c>
    </row>
    <row r="65" spans="1:18" x14ac:dyDescent="0.25">
      <c r="A65" s="50"/>
      <c r="B65" s="61"/>
      <c r="C65" s="116"/>
      <c r="D65" s="55"/>
      <c r="E65" s="91" t="s">
        <v>214</v>
      </c>
      <c r="G65" s="91" t="s">
        <v>153</v>
      </c>
      <c r="I65" s="6" t="s">
        <v>205</v>
      </c>
      <c r="J65" s="30"/>
      <c r="K65" s="228">
        <v>283</v>
      </c>
      <c r="L65" s="228">
        <v>290.60000000000002</v>
      </c>
      <c r="M65" s="228">
        <v>294.60000000000002</v>
      </c>
      <c r="N65" s="228">
        <v>317.7</v>
      </c>
      <c r="O65" s="228">
        <v>360.3</v>
      </c>
      <c r="P65" s="228">
        <v>377.9</v>
      </c>
      <c r="Q65" s="228">
        <v>381.9</v>
      </c>
      <c r="R65" s="228">
        <f t="shared" si="0"/>
        <v>393.4</v>
      </c>
    </row>
    <row r="66" spans="1:18" x14ac:dyDescent="0.25">
      <c r="A66" s="50"/>
      <c r="B66" s="61"/>
      <c r="C66" s="116"/>
      <c r="D66" s="55"/>
      <c r="E66" s="91" t="s">
        <v>215</v>
      </c>
      <c r="G66" s="91" t="s">
        <v>153</v>
      </c>
      <c r="I66" s="6" t="s">
        <v>205</v>
      </c>
      <c r="J66" s="30"/>
      <c r="K66" s="228">
        <v>285</v>
      </c>
      <c r="L66" s="228">
        <v>292</v>
      </c>
      <c r="M66" s="228">
        <v>296</v>
      </c>
      <c r="N66" s="228">
        <v>320.2</v>
      </c>
      <c r="O66" s="228">
        <v>364.5</v>
      </c>
      <c r="P66" s="228">
        <v>382.3</v>
      </c>
      <c r="Q66" s="228">
        <v>386.4</v>
      </c>
      <c r="R66" s="228">
        <f t="shared" si="0"/>
        <v>398</v>
      </c>
    </row>
    <row r="67" spans="1:18" x14ac:dyDescent="0.25">
      <c r="A67" s="50"/>
      <c r="B67" s="61"/>
      <c r="C67" s="116"/>
      <c r="D67" s="55"/>
      <c r="E67" s="91" t="s">
        <v>216</v>
      </c>
      <c r="G67" s="91" t="s">
        <v>153</v>
      </c>
      <c r="I67" s="6" t="s">
        <v>205</v>
      </c>
      <c r="J67" s="30"/>
      <c r="K67" s="228">
        <v>285.10000000000002</v>
      </c>
      <c r="L67" s="228">
        <v>292.60000000000002</v>
      </c>
      <c r="M67" s="228">
        <v>296.89999999999998</v>
      </c>
      <c r="N67" s="228">
        <v>323.5</v>
      </c>
      <c r="O67" s="228">
        <v>367.2</v>
      </c>
      <c r="P67" s="228">
        <v>385.1</v>
      </c>
      <c r="Q67" s="228">
        <v>389.2</v>
      </c>
      <c r="R67" s="228">
        <f t="shared" si="0"/>
        <v>400.9</v>
      </c>
    </row>
    <row r="68" spans="1:18" x14ac:dyDescent="0.25">
      <c r="A68" s="50"/>
      <c r="B68" s="61"/>
      <c r="C68" s="116"/>
      <c r="D68" s="55"/>
      <c r="E68" s="91"/>
      <c r="F68" s="91"/>
      <c r="G68" s="91"/>
      <c r="I68" s="171"/>
    </row>
    <row r="69" spans="1:18" x14ac:dyDescent="0.25">
      <c r="A69" s="50"/>
      <c r="B69" s="61" t="s">
        <v>217</v>
      </c>
      <c r="C69" s="116"/>
      <c r="D69" s="55"/>
      <c r="I69" s="6"/>
    </row>
    <row r="70" spans="1:18" x14ac:dyDescent="0.25">
      <c r="A70" s="50"/>
      <c r="B70" s="61"/>
      <c r="C70" s="116"/>
      <c r="D70" s="55"/>
      <c r="E70" s="91" t="s">
        <v>218</v>
      </c>
      <c r="G70" s="91" t="s">
        <v>153</v>
      </c>
      <c r="I70" s="6" t="s">
        <v>219</v>
      </c>
      <c r="J70" s="228">
        <v>103.2</v>
      </c>
      <c r="K70" s="228">
        <v>105.5</v>
      </c>
      <c r="L70" s="228">
        <v>107.6</v>
      </c>
      <c r="M70" s="228">
        <v>108.6</v>
      </c>
      <c r="N70" s="228">
        <v>110.4</v>
      </c>
      <c r="O70" s="228">
        <v>119</v>
      </c>
      <c r="P70" s="228">
        <v>129.19999999999999</v>
      </c>
      <c r="Q70" s="228">
        <v>130.6</v>
      </c>
      <c r="R70" s="228">
        <v>131</v>
      </c>
    </row>
    <row r="71" spans="1:18" x14ac:dyDescent="0.25">
      <c r="A71" s="50"/>
      <c r="B71" s="61"/>
      <c r="C71" s="116"/>
      <c r="D71" s="55"/>
      <c r="E71" s="91" t="s">
        <v>220</v>
      </c>
      <c r="G71" s="91" t="s">
        <v>153</v>
      </c>
      <c r="I71" s="6" t="s">
        <v>219</v>
      </c>
      <c r="J71" s="228">
        <v>103.5</v>
      </c>
      <c r="K71" s="228">
        <v>105.9</v>
      </c>
      <c r="L71" s="228">
        <v>107.9</v>
      </c>
      <c r="M71" s="228">
        <v>108.6</v>
      </c>
      <c r="N71" s="228">
        <v>111</v>
      </c>
      <c r="O71" s="228">
        <v>119.7</v>
      </c>
      <c r="P71" s="228">
        <v>130</v>
      </c>
      <c r="Q71" s="228">
        <v>131.4</v>
      </c>
      <c r="R71" s="228">
        <v>131.80000000000001</v>
      </c>
    </row>
    <row r="72" spans="1:18" x14ac:dyDescent="0.25">
      <c r="A72" s="50"/>
      <c r="B72" s="61"/>
      <c r="C72" s="116"/>
      <c r="D72" s="55"/>
      <c r="E72" s="91" t="s">
        <v>221</v>
      </c>
      <c r="G72" s="91" t="s">
        <v>153</v>
      </c>
      <c r="I72" s="6" t="s">
        <v>219</v>
      </c>
      <c r="J72" s="228">
        <v>103.5</v>
      </c>
      <c r="K72" s="228">
        <v>105.9</v>
      </c>
      <c r="L72" s="228">
        <v>107.9</v>
      </c>
      <c r="M72" s="228">
        <v>108.8</v>
      </c>
      <c r="N72" s="228">
        <v>111.4</v>
      </c>
      <c r="O72" s="228">
        <v>120.5</v>
      </c>
      <c r="P72" s="228">
        <v>131</v>
      </c>
      <c r="Q72" s="228">
        <v>132.5</v>
      </c>
      <c r="R72" s="228">
        <v>132.9</v>
      </c>
    </row>
    <row r="73" spans="1:18" x14ac:dyDescent="0.25">
      <c r="A73" s="50"/>
      <c r="B73" s="61"/>
      <c r="C73" s="116"/>
      <c r="D73" s="55"/>
      <c r="E73" s="91" t="s">
        <v>222</v>
      </c>
      <c r="G73" s="91" t="s">
        <v>153</v>
      </c>
      <c r="I73" s="6" t="s">
        <v>219</v>
      </c>
      <c r="J73" s="228">
        <v>103.5</v>
      </c>
      <c r="K73" s="228">
        <v>105.9</v>
      </c>
      <c r="L73" s="228">
        <v>108</v>
      </c>
      <c r="M73" s="228">
        <v>109.2</v>
      </c>
      <c r="N73" s="228">
        <v>111.4</v>
      </c>
      <c r="O73" s="228">
        <v>121.2</v>
      </c>
      <c r="P73" s="228">
        <v>128.5</v>
      </c>
      <c r="Q73" s="228">
        <v>129.1</v>
      </c>
      <c r="R73" s="228">
        <v>128.80000000000001</v>
      </c>
    </row>
    <row r="74" spans="1:18" x14ac:dyDescent="0.25">
      <c r="A74" s="50"/>
      <c r="B74" s="61"/>
      <c r="C74" s="116"/>
      <c r="D74" s="55"/>
      <c r="E74" s="91" t="s">
        <v>223</v>
      </c>
      <c r="G74" s="91" t="s">
        <v>153</v>
      </c>
      <c r="I74" s="6" t="s">
        <v>219</v>
      </c>
      <c r="J74" s="228">
        <v>104</v>
      </c>
      <c r="K74" s="228">
        <v>106.5</v>
      </c>
      <c r="L74" s="228">
        <v>108.3</v>
      </c>
      <c r="M74" s="228">
        <v>108.8</v>
      </c>
      <c r="N74" s="228">
        <v>112.1</v>
      </c>
      <c r="O74" s="228">
        <v>121.8</v>
      </c>
      <c r="P74" s="228">
        <v>129.19999999999999</v>
      </c>
      <c r="Q74" s="228">
        <v>129.80000000000001</v>
      </c>
      <c r="R74" s="228">
        <v>129.5</v>
      </c>
    </row>
    <row r="75" spans="1:18" x14ac:dyDescent="0.25">
      <c r="A75" s="50"/>
      <c r="B75" s="61"/>
      <c r="C75" s="116"/>
      <c r="D75" s="55"/>
      <c r="E75" s="91" t="s">
        <v>224</v>
      </c>
      <c r="G75" s="91" t="s">
        <v>153</v>
      </c>
      <c r="I75" s="6" t="s">
        <v>219</v>
      </c>
      <c r="J75" s="228">
        <v>104.3</v>
      </c>
      <c r="K75" s="228">
        <v>106.6</v>
      </c>
      <c r="L75" s="228">
        <v>108.4</v>
      </c>
      <c r="M75" s="228">
        <v>109.2</v>
      </c>
      <c r="N75" s="228">
        <v>112.4</v>
      </c>
      <c r="O75" s="228">
        <v>122.3</v>
      </c>
      <c r="P75" s="228">
        <v>129.80000000000001</v>
      </c>
      <c r="Q75" s="228">
        <v>130.4</v>
      </c>
      <c r="R75" s="228">
        <v>130.1</v>
      </c>
    </row>
    <row r="76" spans="1:18" x14ac:dyDescent="0.25">
      <c r="A76" s="50"/>
      <c r="B76" s="61"/>
      <c r="C76" s="116"/>
      <c r="D76" s="55"/>
      <c r="E76" s="91" t="s">
        <v>225</v>
      </c>
      <c r="G76" s="91" t="s">
        <v>153</v>
      </c>
      <c r="I76" s="6" t="s">
        <v>219</v>
      </c>
      <c r="J76" s="228">
        <v>104.4</v>
      </c>
      <c r="K76" s="228">
        <v>106.7</v>
      </c>
      <c r="L76" s="228">
        <v>108.3</v>
      </c>
      <c r="M76" s="228">
        <v>109.2</v>
      </c>
      <c r="N76" s="228">
        <v>113.4</v>
      </c>
      <c r="O76" s="228">
        <v>124.3</v>
      </c>
      <c r="P76" s="228">
        <v>130.1</v>
      </c>
      <c r="Q76" s="228">
        <v>130.5</v>
      </c>
      <c r="R76" s="228">
        <v>130.30000000000001</v>
      </c>
    </row>
    <row r="77" spans="1:18" x14ac:dyDescent="0.25">
      <c r="A77" s="50"/>
      <c r="B77" s="61"/>
      <c r="C77" s="116"/>
      <c r="D77" s="55"/>
      <c r="E77" s="91" t="s">
        <v>226</v>
      </c>
      <c r="G77" s="91" t="s">
        <v>153</v>
      </c>
      <c r="I77" s="6" t="s">
        <v>219</v>
      </c>
      <c r="J77" s="228">
        <v>104.7</v>
      </c>
      <c r="K77" s="228">
        <v>106.9</v>
      </c>
      <c r="L77" s="228">
        <v>108.5</v>
      </c>
      <c r="M77" s="228">
        <v>109.1</v>
      </c>
      <c r="N77" s="228">
        <v>114.1</v>
      </c>
      <c r="O77" s="228">
        <v>124.8</v>
      </c>
      <c r="P77" s="228">
        <v>130.69999999999999</v>
      </c>
      <c r="Q77" s="228">
        <v>131.1</v>
      </c>
      <c r="R77" s="228">
        <v>130.9</v>
      </c>
    </row>
    <row r="78" spans="1:18" x14ac:dyDescent="0.25">
      <c r="A78" s="50"/>
      <c r="B78" s="61"/>
      <c r="C78" s="116"/>
      <c r="D78" s="55"/>
      <c r="E78" s="91" t="s">
        <v>227</v>
      </c>
      <c r="G78" s="91" t="s">
        <v>153</v>
      </c>
      <c r="I78" s="6" t="s">
        <v>219</v>
      </c>
      <c r="J78" s="228">
        <v>105</v>
      </c>
      <c r="K78" s="228">
        <v>107.1</v>
      </c>
      <c r="L78" s="228">
        <v>108.5</v>
      </c>
      <c r="M78" s="228">
        <v>109.4</v>
      </c>
      <c r="N78" s="228">
        <v>114.7</v>
      </c>
      <c r="O78" s="228">
        <v>125.3</v>
      </c>
      <c r="P78" s="228">
        <v>131.30000000000001</v>
      </c>
      <c r="Q78" s="228">
        <v>131.69999999999999</v>
      </c>
      <c r="R78" s="228">
        <v>131.5</v>
      </c>
    </row>
    <row r="79" spans="1:18" x14ac:dyDescent="0.25">
      <c r="A79" s="50"/>
      <c r="B79" s="61"/>
      <c r="C79" s="116"/>
      <c r="D79" s="55"/>
      <c r="E79" s="91" t="s">
        <v>228</v>
      </c>
      <c r="G79" s="91" t="s">
        <v>153</v>
      </c>
      <c r="I79" s="6" t="s">
        <v>219</v>
      </c>
      <c r="J79" s="228">
        <v>104.5</v>
      </c>
      <c r="K79" s="228">
        <v>106.4</v>
      </c>
      <c r="L79" s="228">
        <v>108.3</v>
      </c>
      <c r="M79" s="228">
        <v>109.3</v>
      </c>
      <c r="N79" s="228">
        <v>114.6</v>
      </c>
      <c r="O79" s="228">
        <v>124.8</v>
      </c>
      <c r="P79" s="228">
        <v>127.7</v>
      </c>
      <c r="Q79" s="228">
        <v>128.1</v>
      </c>
      <c r="R79" s="228">
        <v>127.7</v>
      </c>
    </row>
    <row r="80" spans="1:18" x14ac:dyDescent="0.25">
      <c r="A80" s="50"/>
      <c r="B80" s="61"/>
      <c r="C80" s="116"/>
      <c r="D80" s="55"/>
      <c r="E80" s="91" t="s">
        <v>229</v>
      </c>
      <c r="G80" s="91" t="s">
        <v>153</v>
      </c>
      <c r="I80" s="6" t="s">
        <v>219</v>
      </c>
      <c r="J80" s="228">
        <v>104.9</v>
      </c>
      <c r="K80" s="228">
        <v>106.8</v>
      </c>
      <c r="L80" s="228">
        <v>108.6</v>
      </c>
      <c r="M80" s="228">
        <v>109.4</v>
      </c>
      <c r="N80" s="228">
        <v>115.4</v>
      </c>
      <c r="O80" s="228">
        <v>126</v>
      </c>
      <c r="P80" s="228">
        <v>129</v>
      </c>
      <c r="Q80" s="228">
        <v>129.4</v>
      </c>
      <c r="R80" s="228">
        <v>129</v>
      </c>
    </row>
    <row r="81" spans="1:22" x14ac:dyDescent="0.25">
      <c r="A81" s="50"/>
      <c r="B81" s="61"/>
      <c r="C81" s="116"/>
      <c r="D81" s="55"/>
      <c r="E81" s="91" t="s">
        <v>230</v>
      </c>
      <c r="F81" s="91"/>
      <c r="G81" s="91" t="s">
        <v>153</v>
      </c>
      <c r="I81" s="6" t="s">
        <v>219</v>
      </c>
      <c r="J81" s="228">
        <v>105.1</v>
      </c>
      <c r="K81" s="228">
        <v>107</v>
      </c>
      <c r="L81" s="228">
        <v>108.6</v>
      </c>
      <c r="M81" s="228">
        <v>109.7</v>
      </c>
      <c r="N81" s="228">
        <v>116.5</v>
      </c>
      <c r="O81" s="228">
        <v>126.8</v>
      </c>
      <c r="P81" s="228">
        <v>129.80000000000001</v>
      </c>
      <c r="Q81" s="228">
        <v>130.19999999999999</v>
      </c>
      <c r="R81" s="228">
        <v>129.80000000000001</v>
      </c>
    </row>
    <row r="82" spans="1:22" x14ac:dyDescent="0.25">
      <c r="A82" s="50"/>
      <c r="B82" s="61"/>
      <c r="C82" s="116"/>
      <c r="D82" s="55"/>
      <c r="E82" s="91"/>
      <c r="F82" s="91"/>
      <c r="G82" s="91"/>
      <c r="I82" s="171"/>
    </row>
    <row r="83" spans="1:22" s="30" customFormat="1" x14ac:dyDescent="0.25">
      <c r="A83" s="50"/>
      <c r="B83" s="61"/>
      <c r="C83" s="116"/>
      <c r="D83" s="55"/>
      <c r="E83" s="91" t="s">
        <v>231</v>
      </c>
      <c r="F83" s="91"/>
      <c r="G83" s="91" t="s">
        <v>153</v>
      </c>
      <c r="I83" s="171"/>
      <c r="K83" s="254"/>
      <c r="L83" s="254"/>
      <c r="M83" s="254">
        <v>4</v>
      </c>
      <c r="N83" s="254">
        <v>3</v>
      </c>
      <c r="O83" s="254">
        <v>2</v>
      </c>
      <c r="P83" s="254">
        <v>1</v>
      </c>
      <c r="Q83" s="254">
        <v>0</v>
      </c>
      <c r="R83" s="254"/>
    </row>
    <row r="84" spans="1:22" x14ac:dyDescent="0.25">
      <c r="A84" s="50"/>
      <c r="B84" s="61"/>
      <c r="C84" s="116"/>
      <c r="D84" s="55"/>
      <c r="I84" s="6"/>
    </row>
    <row r="85" spans="1:22" x14ac:dyDescent="0.25">
      <c r="A85" s="285" t="s">
        <v>232</v>
      </c>
      <c r="B85" s="286"/>
      <c r="C85" s="287"/>
      <c r="D85" s="287"/>
      <c r="E85" s="287"/>
      <c r="F85" s="287"/>
      <c r="G85" s="287"/>
      <c r="H85" s="287"/>
      <c r="I85" s="287"/>
      <c r="J85" s="287"/>
      <c r="K85" s="287"/>
      <c r="L85" s="287"/>
      <c r="M85" s="287"/>
      <c r="N85" s="287"/>
      <c r="O85" s="287"/>
      <c r="P85" s="287"/>
      <c r="Q85" s="287"/>
      <c r="R85" s="287"/>
    </row>
    <row r="86" spans="1:22" x14ac:dyDescent="0.25">
      <c r="A86" s="50"/>
      <c r="B86" s="61" t="s">
        <v>233</v>
      </c>
      <c r="C86" s="283"/>
      <c r="D86" s="55"/>
      <c r="I86" s="6"/>
    </row>
    <row r="87" spans="1:22" x14ac:dyDescent="0.25">
      <c r="A87" s="50"/>
      <c r="B87" s="61"/>
      <c r="C87" s="283"/>
      <c r="D87" s="55"/>
      <c r="E87" s="7" t="s">
        <v>234</v>
      </c>
      <c r="F87" s="292">
        <v>66.006</v>
      </c>
      <c r="G87" s="7" t="s">
        <v>235</v>
      </c>
      <c r="I87" s="6" t="s">
        <v>236</v>
      </c>
    </row>
    <row r="88" spans="1:22" x14ac:dyDescent="0.25">
      <c r="A88" s="50"/>
      <c r="B88" s="61"/>
      <c r="C88" s="283"/>
      <c r="D88" s="55"/>
      <c r="E88" s="7" t="s">
        <v>237</v>
      </c>
      <c r="F88" s="292">
        <v>540.72799999999995</v>
      </c>
      <c r="G88" s="7" t="s">
        <v>235</v>
      </c>
      <c r="I88" s="6" t="s">
        <v>238</v>
      </c>
    </row>
    <row r="89" spans="1:22" x14ac:dyDescent="0.25">
      <c r="A89" s="50"/>
      <c r="B89" s="61"/>
      <c r="C89" s="283"/>
      <c r="D89" s="55"/>
      <c r="E89" s="7" t="s">
        <v>239</v>
      </c>
      <c r="F89" s="292" t="s">
        <v>240</v>
      </c>
      <c r="G89" s="7" t="s">
        <v>235</v>
      </c>
      <c r="I89" s="6" t="s">
        <v>241</v>
      </c>
    </row>
    <row r="90" spans="1:22" x14ac:dyDescent="0.25">
      <c r="A90" s="50"/>
      <c r="B90" s="61"/>
      <c r="C90" s="283"/>
      <c r="D90" s="55"/>
      <c r="E90" s="7" t="s">
        <v>242</v>
      </c>
      <c r="F90" s="292" t="s">
        <v>240</v>
      </c>
      <c r="G90" s="7" t="s">
        <v>235</v>
      </c>
      <c r="I90" s="6" t="s">
        <v>243</v>
      </c>
    </row>
    <row r="91" spans="1:22" x14ac:dyDescent="0.25">
      <c r="A91" s="50"/>
      <c r="B91" s="61"/>
      <c r="C91" s="283"/>
      <c r="D91" s="55"/>
      <c r="E91" s="7" t="s">
        <v>244</v>
      </c>
      <c r="F91" s="292" t="s">
        <v>240</v>
      </c>
      <c r="G91" s="7" t="s">
        <v>235</v>
      </c>
      <c r="I91" s="6" t="s">
        <v>245</v>
      </c>
    </row>
    <row r="92" spans="1:22" x14ac:dyDescent="0.25">
      <c r="A92" s="50"/>
      <c r="B92" s="61"/>
      <c r="C92" s="116"/>
      <c r="D92" s="55"/>
      <c r="I92" s="6"/>
      <c r="M92" s="207"/>
      <c r="N92" s="207"/>
      <c r="O92" s="207"/>
      <c r="P92" s="207"/>
      <c r="Q92" s="207"/>
      <c r="R92" s="207"/>
    </row>
    <row r="93" spans="1:22" x14ac:dyDescent="0.25">
      <c r="A93" s="50"/>
      <c r="B93" s="61" t="s">
        <v>246</v>
      </c>
      <c r="C93" s="116"/>
      <c r="D93" s="55"/>
      <c r="I93" s="6"/>
    </row>
    <row r="94" spans="1:22" x14ac:dyDescent="0.25">
      <c r="A94" s="50"/>
      <c r="B94" s="61"/>
      <c r="C94" s="116"/>
      <c r="D94" s="55"/>
      <c r="E94" s="7" t="s">
        <v>247</v>
      </c>
      <c r="G94" s="7" t="s">
        <v>248</v>
      </c>
      <c r="I94" s="6" t="s">
        <v>249</v>
      </c>
      <c r="M94" s="240">
        <v>7.4751147145812491E-2</v>
      </c>
      <c r="N94" s="240">
        <v>7.4751147145812491E-2</v>
      </c>
      <c r="O94" s="240">
        <v>7.4751147145812491E-2</v>
      </c>
      <c r="P94" s="240">
        <v>7.4751147145812491E-2</v>
      </c>
      <c r="Q94" s="240">
        <v>7.4751147145812491E-2</v>
      </c>
      <c r="R94" s="240">
        <v>7.4751147145812491E-2</v>
      </c>
      <c r="S94" s="7">
        <v>7.0000000000000007E-2</v>
      </c>
      <c r="T94" s="7">
        <v>7.0000000000000007E-2</v>
      </c>
      <c r="U94" s="7">
        <v>7.0000000000000007E-2</v>
      </c>
      <c r="V94" s="7">
        <v>7.0000000000000007E-2</v>
      </c>
    </row>
    <row r="95" spans="1:22" x14ac:dyDescent="0.25">
      <c r="A95" s="50"/>
      <c r="B95" s="61"/>
      <c r="C95" s="116"/>
      <c r="D95" s="55"/>
      <c r="E95" s="7" t="s">
        <v>250</v>
      </c>
      <c r="G95" s="7" t="s">
        <v>248</v>
      </c>
      <c r="I95" s="6" t="s">
        <v>251</v>
      </c>
      <c r="M95" s="240">
        <v>3.8923105486887502E-2</v>
      </c>
      <c r="N95" s="240">
        <v>3.8923105486887502E-2</v>
      </c>
      <c r="O95" s="240">
        <v>3.8923105486887502E-2</v>
      </c>
      <c r="P95" s="240">
        <v>3.8923105486887502E-2</v>
      </c>
      <c r="Q95" s="240">
        <v>3.8923105486887502E-2</v>
      </c>
      <c r="R95" s="240">
        <v>3.8923105486887502E-2</v>
      </c>
      <c r="S95" s="7">
        <v>0.03</v>
      </c>
      <c r="T95" s="7">
        <v>0.03</v>
      </c>
      <c r="U95" s="7">
        <v>0.02</v>
      </c>
      <c r="V95" s="7">
        <v>0.02</v>
      </c>
    </row>
    <row r="96" spans="1:22" x14ac:dyDescent="0.25">
      <c r="A96" s="50"/>
      <c r="B96" s="61"/>
      <c r="C96" s="116"/>
      <c r="D96" s="55"/>
      <c r="E96" s="7" t="s">
        <v>252</v>
      </c>
      <c r="G96" s="7" t="s">
        <v>248</v>
      </c>
      <c r="I96" s="6" t="s">
        <v>253</v>
      </c>
      <c r="M96" s="240" t="s">
        <v>240</v>
      </c>
      <c r="N96" s="240"/>
      <c r="O96" s="240"/>
      <c r="P96" s="240"/>
      <c r="Q96" s="240"/>
      <c r="R96" s="240"/>
    </row>
    <row r="97" spans="1:26" x14ac:dyDescent="0.25">
      <c r="A97" s="50"/>
      <c r="B97" s="61"/>
      <c r="C97" s="116"/>
      <c r="D97" s="55"/>
      <c r="E97" s="7" t="s">
        <v>254</v>
      </c>
      <c r="G97" s="7" t="s">
        <v>248</v>
      </c>
      <c r="I97" s="6" t="s">
        <v>255</v>
      </c>
      <c r="M97" s="240" t="s">
        <v>240</v>
      </c>
      <c r="N97" s="240"/>
      <c r="O97" s="240"/>
      <c r="P97" s="240"/>
      <c r="Q97" s="240"/>
      <c r="R97" s="240"/>
    </row>
    <row r="98" spans="1:26" x14ac:dyDescent="0.25">
      <c r="A98" s="50"/>
      <c r="B98" s="61"/>
      <c r="C98" s="116"/>
      <c r="D98" s="55"/>
      <c r="E98" s="7" t="s">
        <v>256</v>
      </c>
      <c r="G98" s="7" t="s">
        <v>248</v>
      </c>
      <c r="I98" s="6" t="s">
        <v>257</v>
      </c>
      <c r="M98" s="240" t="s">
        <v>240</v>
      </c>
      <c r="N98" s="240"/>
      <c r="O98" s="240"/>
      <c r="P98" s="240"/>
      <c r="Q98" s="240"/>
      <c r="R98" s="240"/>
    </row>
    <row r="99" spans="1:26" x14ac:dyDescent="0.25">
      <c r="A99" s="50"/>
      <c r="B99" s="61"/>
      <c r="C99" s="116"/>
      <c r="D99" s="55"/>
      <c r="I99" s="6"/>
      <c r="M99" s="207"/>
      <c r="N99" s="207"/>
      <c r="O99" s="207"/>
      <c r="P99" s="207"/>
      <c r="Q99" s="207"/>
      <c r="R99" s="207"/>
    </row>
    <row r="100" spans="1:26" x14ac:dyDescent="0.25">
      <c r="A100" s="50"/>
      <c r="B100" s="61" t="s">
        <v>258</v>
      </c>
      <c r="C100" s="283"/>
      <c r="D100" s="55"/>
      <c r="I100" s="6"/>
      <c r="M100" s="207"/>
      <c r="N100" s="207"/>
      <c r="O100" s="207"/>
      <c r="P100" s="207"/>
      <c r="Q100" s="207"/>
      <c r="R100" s="207"/>
    </row>
    <row r="101" spans="1:26" x14ac:dyDescent="0.25">
      <c r="A101" s="50"/>
      <c r="B101" s="61"/>
      <c r="C101" s="283"/>
      <c r="D101" s="55"/>
      <c r="E101" s="7" t="s">
        <v>259</v>
      </c>
      <c r="G101" s="7" t="s">
        <v>248</v>
      </c>
      <c r="I101" s="6" t="s">
        <v>260</v>
      </c>
      <c r="M101" s="240">
        <v>1.9199999999999998E-2</v>
      </c>
      <c r="N101" s="240">
        <v>1.9199999999999998E-2</v>
      </c>
      <c r="O101" s="240">
        <v>1.9199999999999998E-2</v>
      </c>
      <c r="P101" s="240">
        <v>1.9199999999999998E-2</v>
      </c>
      <c r="Q101" s="240">
        <v>1.9199999999999998E-2</v>
      </c>
      <c r="R101" s="240">
        <v>1.9199999999999998E-2</v>
      </c>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5">
      <c r="A102" s="50"/>
      <c r="B102" s="61"/>
      <c r="C102" s="283"/>
      <c r="D102" s="55"/>
      <c r="E102" s="7" t="s">
        <v>261</v>
      </c>
      <c r="G102" s="7" t="s">
        <v>248</v>
      </c>
      <c r="I102" s="6" t="s">
        <v>262</v>
      </c>
      <c r="M102" s="240">
        <v>1.9199999999999998E-2</v>
      </c>
      <c r="N102" s="240">
        <v>1.9199999999999998E-2</v>
      </c>
      <c r="O102" s="240">
        <v>1.9199999999999998E-2</v>
      </c>
      <c r="P102" s="240">
        <v>1.9199999999999998E-2</v>
      </c>
      <c r="Q102" s="240">
        <v>1.9199999999999998E-2</v>
      </c>
      <c r="R102" s="240">
        <v>1.9199999999999998E-2</v>
      </c>
    </row>
    <row r="103" spans="1:26" x14ac:dyDescent="0.25">
      <c r="A103" s="50"/>
      <c r="B103" s="61"/>
      <c r="C103" s="283"/>
      <c r="D103" s="55"/>
      <c r="E103" s="7" t="s">
        <v>263</v>
      </c>
      <c r="G103" s="7" t="s">
        <v>248</v>
      </c>
      <c r="I103" s="6" t="s">
        <v>264</v>
      </c>
      <c r="M103" s="240"/>
      <c r="N103" s="240"/>
      <c r="O103" s="240"/>
      <c r="P103" s="240"/>
      <c r="Q103" s="240"/>
      <c r="R103" s="240"/>
    </row>
    <row r="104" spans="1:26" x14ac:dyDescent="0.25">
      <c r="A104" s="50"/>
      <c r="B104" s="61"/>
      <c r="C104" s="283"/>
      <c r="D104" s="55"/>
      <c r="E104" s="7" t="s">
        <v>265</v>
      </c>
      <c r="G104" s="7" t="s">
        <v>248</v>
      </c>
      <c r="I104" s="6" t="s">
        <v>266</v>
      </c>
      <c r="M104" s="240"/>
      <c r="N104" s="240"/>
      <c r="O104" s="240"/>
      <c r="P104" s="240"/>
      <c r="Q104" s="240"/>
      <c r="R104" s="240"/>
    </row>
    <row r="105" spans="1:26" x14ac:dyDescent="0.25">
      <c r="A105" s="50"/>
      <c r="B105" s="61"/>
      <c r="C105" s="283"/>
      <c r="D105" s="55"/>
      <c r="E105" s="7" t="s">
        <v>267</v>
      </c>
      <c r="G105" s="7" t="s">
        <v>248</v>
      </c>
      <c r="I105" s="6" t="s">
        <v>268</v>
      </c>
      <c r="M105" s="240"/>
      <c r="N105" s="240"/>
      <c r="O105" s="240"/>
      <c r="P105" s="240"/>
      <c r="Q105" s="240"/>
      <c r="R105" s="240"/>
    </row>
    <row r="106" spans="1:26" x14ac:dyDescent="0.25">
      <c r="A106" s="50"/>
      <c r="B106" s="61"/>
      <c r="C106" s="116"/>
      <c r="D106" s="55"/>
      <c r="I106" s="6"/>
      <c r="M106" s="207"/>
      <c r="N106" s="207"/>
      <c r="O106" s="207"/>
      <c r="P106" s="207"/>
      <c r="Q106" s="207"/>
      <c r="R106" s="207"/>
    </row>
    <row r="107" spans="1:26" x14ac:dyDescent="0.25">
      <c r="A107" s="50"/>
      <c r="B107" s="61" t="s">
        <v>269</v>
      </c>
      <c r="C107" s="116"/>
      <c r="D107" s="55"/>
      <c r="I107" s="6"/>
      <c r="M107" s="207"/>
      <c r="N107" s="207"/>
      <c r="O107" s="207"/>
      <c r="P107" s="207"/>
      <c r="Q107" s="207"/>
      <c r="R107" s="207"/>
    </row>
    <row r="108" spans="1:26" x14ac:dyDescent="0.25">
      <c r="A108" s="50"/>
      <c r="B108" s="61"/>
      <c r="C108" s="116"/>
      <c r="D108" s="55"/>
      <c r="E108" s="7" t="s">
        <v>270</v>
      </c>
      <c r="G108" s="7" t="s">
        <v>248</v>
      </c>
      <c r="I108" s="6" t="s">
        <v>271</v>
      </c>
      <c r="M108" s="240">
        <v>2.92E-2</v>
      </c>
      <c r="N108" s="240">
        <v>2.92E-2</v>
      </c>
      <c r="O108" s="240">
        <v>2.92E-2</v>
      </c>
      <c r="P108" s="240">
        <v>2.92E-2</v>
      </c>
      <c r="Q108" s="240">
        <v>2.92E-2</v>
      </c>
      <c r="R108" s="240">
        <v>2.92E-2</v>
      </c>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5">
      <c r="A109" s="50"/>
      <c r="B109" s="61"/>
      <c r="C109" s="116"/>
      <c r="D109" s="55"/>
      <c r="E109" s="7" t="s">
        <v>272</v>
      </c>
      <c r="G109" s="7" t="s">
        <v>248</v>
      </c>
      <c r="I109" s="6" t="s">
        <v>273</v>
      </c>
      <c r="M109" s="240">
        <v>2.92E-2</v>
      </c>
      <c r="N109" s="240">
        <v>2.92E-2</v>
      </c>
      <c r="O109" s="240">
        <v>2.92E-2</v>
      </c>
      <c r="P109" s="240">
        <v>2.92E-2</v>
      </c>
      <c r="Q109" s="240">
        <v>2.92E-2</v>
      </c>
      <c r="R109" s="240">
        <v>2.92E-2</v>
      </c>
    </row>
    <row r="110" spans="1:26" x14ac:dyDescent="0.25">
      <c r="A110" s="50"/>
      <c r="B110" s="61"/>
      <c r="C110" s="116"/>
      <c r="D110" s="55"/>
      <c r="E110" s="7" t="s">
        <v>274</v>
      </c>
      <c r="G110" s="7" t="s">
        <v>248</v>
      </c>
      <c r="I110" s="6" t="s">
        <v>275</v>
      </c>
      <c r="M110" s="240"/>
      <c r="N110" s="240"/>
      <c r="O110" s="240"/>
      <c r="P110" s="240"/>
      <c r="Q110" s="240"/>
      <c r="R110" s="240"/>
    </row>
    <row r="111" spans="1:26" x14ac:dyDescent="0.25">
      <c r="A111" s="50"/>
      <c r="B111" s="61"/>
      <c r="C111" s="116"/>
      <c r="D111" s="55"/>
      <c r="E111" s="7" t="s">
        <v>276</v>
      </c>
      <c r="G111" s="7" t="s">
        <v>248</v>
      </c>
      <c r="I111" s="6" t="s">
        <v>277</v>
      </c>
      <c r="M111" s="240"/>
      <c r="N111" s="240"/>
      <c r="O111" s="240"/>
      <c r="P111" s="240"/>
      <c r="Q111" s="240"/>
      <c r="R111" s="240"/>
    </row>
    <row r="112" spans="1:26" x14ac:dyDescent="0.25">
      <c r="A112" s="50"/>
      <c r="B112" s="61"/>
      <c r="C112" s="116"/>
      <c r="D112" s="55"/>
      <c r="E112" s="7" t="s">
        <v>278</v>
      </c>
      <c r="G112" s="7" t="s">
        <v>248</v>
      </c>
      <c r="I112" s="6" t="s">
        <v>279</v>
      </c>
      <c r="M112" s="240"/>
      <c r="N112" s="240"/>
      <c r="O112" s="240"/>
      <c r="P112" s="240"/>
      <c r="Q112" s="240"/>
      <c r="R112" s="240"/>
    </row>
    <row r="113" spans="1:27" x14ac:dyDescent="0.25">
      <c r="A113" s="50"/>
      <c r="B113" s="61"/>
      <c r="C113" s="116"/>
      <c r="D113" s="55"/>
    </row>
    <row r="114" spans="1:27" x14ac:dyDescent="0.25">
      <c r="A114" s="285" t="s">
        <v>280</v>
      </c>
      <c r="B114" s="286"/>
      <c r="C114" s="287"/>
      <c r="D114" s="287"/>
      <c r="E114" s="287"/>
      <c r="F114" s="287"/>
      <c r="G114" s="287"/>
      <c r="H114" s="287"/>
      <c r="I114" s="287"/>
      <c r="J114" s="287"/>
      <c r="K114" s="287"/>
      <c r="L114" s="287"/>
      <c r="M114" s="287"/>
      <c r="N114" s="287"/>
      <c r="O114" s="287"/>
      <c r="P114" s="287"/>
      <c r="Q114" s="287"/>
      <c r="R114" s="287"/>
    </row>
    <row r="115" spans="1:27" x14ac:dyDescent="0.25">
      <c r="A115" s="50"/>
      <c r="B115" s="61"/>
      <c r="C115" s="116"/>
      <c r="D115" s="55"/>
    </row>
    <row r="116" spans="1:27" x14ac:dyDescent="0.25">
      <c r="A116" s="50"/>
      <c r="B116" s="61" t="s">
        <v>281</v>
      </c>
      <c r="C116" s="116"/>
      <c r="D116" s="55"/>
    </row>
    <row r="117" spans="1:27" x14ac:dyDescent="0.25">
      <c r="A117" s="50"/>
      <c r="B117" s="61"/>
      <c r="C117" s="116"/>
      <c r="D117" s="55"/>
      <c r="E117" s="7" t="s">
        <v>282</v>
      </c>
      <c r="F117" s="100">
        <v>1E-3</v>
      </c>
      <c r="G117" s="7" t="s">
        <v>283</v>
      </c>
    </row>
    <row r="118" spans="1:27" x14ac:dyDescent="0.25">
      <c r="A118" s="50"/>
      <c r="B118" s="61"/>
      <c r="C118" s="116"/>
      <c r="D118" s="55"/>
      <c r="E118" s="7" t="s">
        <v>284</v>
      </c>
      <c r="F118" s="100">
        <v>1E-3</v>
      </c>
      <c r="G118" s="7" t="s">
        <v>283</v>
      </c>
    </row>
    <row r="119" spans="1:27" x14ac:dyDescent="0.25">
      <c r="A119" s="50"/>
      <c r="B119" s="61"/>
      <c r="C119" s="116"/>
      <c r="D119" s="55"/>
    </row>
    <row r="120" spans="1:27" x14ac:dyDescent="0.25">
      <c r="A120" s="50"/>
      <c r="B120" s="61"/>
      <c r="C120" s="116"/>
      <c r="D120" s="55"/>
    </row>
    <row r="121" spans="1:27" s="161" customFormat="1" x14ac:dyDescent="0.25">
      <c r="A121" s="157" t="s">
        <v>114</v>
      </c>
      <c r="B121" s="158"/>
      <c r="C121" s="159"/>
      <c r="D121" s="160"/>
    </row>
    <row r="122" spans="1:27" ht="12.65" customHeight="1" x14ac:dyDescent="0.25">
      <c r="B122" s="61"/>
      <c r="C122" s="116"/>
      <c r="D122" s="55"/>
    </row>
    <row r="123" spans="1:27" hidden="1" x14ac:dyDescent="0.25">
      <c r="A123" s="50"/>
      <c r="B123" s="188"/>
      <c r="C123" s="189"/>
      <c r="D123" s="190"/>
    </row>
    <row r="124" spans="1:27" hidden="1" x14ac:dyDescent="0.25">
      <c r="B124" s="61"/>
      <c r="C124" s="116"/>
      <c r="D124" s="55"/>
    </row>
    <row r="125" spans="1:27" hidden="1" x14ac:dyDescent="0.25">
      <c r="A125" s="50"/>
      <c r="B125" s="188"/>
      <c r="C125" s="189"/>
      <c r="D125" s="190"/>
    </row>
    <row r="126" spans="1:27" hidden="1" x14ac:dyDescent="0.25">
      <c r="B126" s="61"/>
      <c r="C126" s="116"/>
      <c r="D126" s="55"/>
      <c r="M126" s="206"/>
      <c r="N126" s="206"/>
      <c r="O126" s="206"/>
      <c r="P126" s="206"/>
      <c r="Q126" s="206"/>
    </row>
    <row r="127" spans="1:27" s="172" customFormat="1" hidden="1" x14ac:dyDescent="0.25">
      <c r="A127" s="173"/>
      <c r="B127" s="174"/>
      <c r="C127" s="175"/>
      <c r="D127" s="176"/>
      <c r="T127" s="177"/>
      <c r="U127" s="177"/>
      <c r="V127" s="177"/>
      <c r="W127" s="177"/>
      <c r="X127" s="177"/>
      <c r="Y127" s="177"/>
      <c r="Z127" s="177"/>
      <c r="AA127" s="177"/>
    </row>
    <row r="128" spans="1:27" hidden="1" x14ac:dyDescent="0.25">
      <c r="B128" s="61"/>
      <c r="C128" s="116"/>
      <c r="D128" s="55"/>
    </row>
    <row r="129" spans="2:4" hidden="1" x14ac:dyDescent="0.25">
      <c r="B129" s="61"/>
      <c r="C129" s="116"/>
      <c r="D129" s="55"/>
    </row>
    <row r="130" spans="2:4" hidden="1" x14ac:dyDescent="0.25">
      <c r="B130" s="61"/>
      <c r="C130" s="116"/>
      <c r="D130" s="55"/>
    </row>
    <row r="131" spans="2:4" hidden="1" x14ac:dyDescent="0.25">
      <c r="B131" s="61"/>
      <c r="C131" s="116"/>
      <c r="D131" s="55"/>
    </row>
    <row r="132" spans="2:4" hidden="1" x14ac:dyDescent="0.25">
      <c r="B132" s="61"/>
      <c r="C132" s="116"/>
      <c r="D132" s="55"/>
    </row>
    <row r="133" spans="2:4" hidden="1" x14ac:dyDescent="0.25">
      <c r="B133" s="61"/>
      <c r="C133" s="116"/>
      <c r="D133" s="55"/>
    </row>
    <row r="134" spans="2:4" hidden="1" x14ac:dyDescent="0.25">
      <c r="B134" s="61"/>
      <c r="C134" s="116"/>
      <c r="D134" s="55"/>
    </row>
    <row r="135" spans="2:4" hidden="1" x14ac:dyDescent="0.25">
      <c r="B135" s="61"/>
      <c r="C135" s="116"/>
      <c r="D135" s="55"/>
    </row>
    <row r="136" spans="2:4" hidden="1" x14ac:dyDescent="0.25">
      <c r="B136" s="61"/>
      <c r="C136" s="116"/>
      <c r="D136" s="55"/>
    </row>
    <row r="137" spans="2:4" hidden="1" x14ac:dyDescent="0.25">
      <c r="B137" s="61"/>
      <c r="C137" s="116"/>
      <c r="D137" s="55"/>
    </row>
    <row r="138" spans="2:4" hidden="1" x14ac:dyDescent="0.25">
      <c r="B138" s="61"/>
      <c r="C138" s="116"/>
      <c r="D138" s="55"/>
    </row>
    <row r="139" spans="2:4" hidden="1" x14ac:dyDescent="0.25">
      <c r="B139" s="61"/>
      <c r="C139" s="116"/>
      <c r="D139" s="55"/>
    </row>
    <row r="140" spans="2:4" hidden="1" x14ac:dyDescent="0.25">
      <c r="B140" s="61"/>
      <c r="C140" s="116"/>
      <c r="D140" s="55"/>
    </row>
    <row r="141" spans="2:4" hidden="1" x14ac:dyDescent="0.25">
      <c r="B141" s="61"/>
      <c r="C141" s="116"/>
      <c r="D141" s="55"/>
    </row>
    <row r="142" spans="2:4" hidden="1" x14ac:dyDescent="0.25">
      <c r="B142" s="61"/>
      <c r="C142" s="116"/>
      <c r="D142" s="55"/>
    </row>
    <row r="143" spans="2:4" hidden="1" x14ac:dyDescent="0.25">
      <c r="B143" s="61"/>
      <c r="C143" s="116"/>
      <c r="D143" s="55"/>
    </row>
    <row r="144" spans="2:4"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c r="E213" s="102"/>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31" activePane="bottomRight" state="frozen"/>
      <selection pane="topRight"/>
      <selection pane="bottomLeft"/>
      <selection pane="bottomRight" activeCell="M44" sqref="M44"/>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8" width="11.54296875" style="7"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285</v>
      </c>
      <c r="D8" s="57"/>
      <c r="E8" s="92"/>
    </row>
    <row r="9" spans="1:78" x14ac:dyDescent="0.25">
      <c r="A9" s="49"/>
      <c r="D9" s="57"/>
      <c r="E9" s="92"/>
    </row>
    <row r="10" spans="1:78" s="65" customFormat="1" x14ac:dyDescent="0.25">
      <c r="A10" s="48"/>
      <c r="B10" s="59" t="s">
        <v>286</v>
      </c>
      <c r="C10" s="108"/>
      <c r="D10" s="53"/>
      <c r="E10" s="93"/>
      <c r="G10" s="37"/>
    </row>
    <row r="11" spans="1:78" s="42" customFormat="1" x14ac:dyDescent="0.25">
      <c r="A11" s="66"/>
      <c r="B11" s="67"/>
      <c r="C11" s="125"/>
      <c r="D11" s="68"/>
      <c r="E11" s="91" t="s">
        <v>287</v>
      </c>
      <c r="G11" s="42" t="s">
        <v>288</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289</v>
      </c>
      <c r="F12" s="7">
        <f xml:space="preserve"> MAX(J11:BZ11)</f>
        <v>9</v>
      </c>
      <c r="G12" s="7" t="s">
        <v>290</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291</v>
      </c>
      <c r="G15" s="7" t="s">
        <v>292</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293</v>
      </c>
      <c r="F18" s="25">
        <f xml:space="preserve"> DATE(YEAR(F17), MONTH(F17), 1)</f>
        <v>42826</v>
      </c>
      <c r="G18" s="25" t="s">
        <v>294</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295</v>
      </c>
      <c r="G22" s="17" t="s">
        <v>138</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296</v>
      </c>
      <c r="F23" s="34"/>
      <c r="G23" s="39" t="s">
        <v>138</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297</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298</v>
      </c>
      <c r="G27" s="38" t="s">
        <v>299</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300</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301</v>
      </c>
      <c r="G34" s="7" t="s">
        <v>292</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302</v>
      </c>
      <c r="G35" s="7" t="s">
        <v>292</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303</v>
      </c>
      <c r="F36" s="21">
        <f xml:space="preserve"> SUM(J35:BZ35)</f>
        <v>3</v>
      </c>
      <c r="G36" s="7" t="s">
        <v>304</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305</v>
      </c>
      <c r="G40" s="2" t="s">
        <v>292</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306</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307</v>
      </c>
      <c r="G46" s="7" t="s">
        <v>292</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308</v>
      </c>
      <c r="G50" s="7" t="s">
        <v>292</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309</v>
      </c>
      <c r="G54" s="34" t="s">
        <v>292</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310</v>
      </c>
      <c r="F55" s="7">
        <f xml:space="preserve"> SUM(J54:BZ54)</f>
        <v>5</v>
      </c>
      <c r="G55" s="7" t="s">
        <v>304</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311</v>
      </c>
      <c r="G59" s="7" t="s">
        <v>292</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312</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313</v>
      </c>
      <c r="G65" s="7" t="s">
        <v>292</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314</v>
      </c>
      <c r="G68" s="7" t="s">
        <v>292</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315</v>
      </c>
      <c r="F69" s="7">
        <f xml:space="preserve"> SUM(J68:BZ68)</f>
        <v>1</v>
      </c>
      <c r="G69" s="7" t="s">
        <v>304</v>
      </c>
    </row>
    <row r="72" spans="1:18" x14ac:dyDescent="0.25">
      <c r="A72" s="49" t="s">
        <v>316</v>
      </c>
      <c r="D72" s="57"/>
      <c r="E72" s="92"/>
    </row>
    <row r="74" spans="1:18" x14ac:dyDescent="0.25">
      <c r="E74" s="91" t="str">
        <f xml:space="preserve"> E$12</f>
        <v>Model Column Total</v>
      </c>
      <c r="F74" s="7">
        <f xml:space="preserve"> F$12</f>
        <v>9</v>
      </c>
      <c r="G74" s="7" t="str">
        <f xml:space="preserve"> G$12</f>
        <v>column</v>
      </c>
    </row>
    <row r="75" spans="1:18" x14ac:dyDescent="0.25">
      <c r="D75" s="55" t="s">
        <v>297</v>
      </c>
      <c r="E75" s="91" t="str">
        <f xml:space="preserve"> E$36</f>
        <v>Pre Forecast Period Total</v>
      </c>
      <c r="F75" s="7">
        <f xml:space="preserve"> F$36</f>
        <v>3</v>
      </c>
      <c r="G75" s="7" t="str">
        <f xml:space="preserve"> G$36</f>
        <v>columns</v>
      </c>
    </row>
    <row r="76" spans="1:18" x14ac:dyDescent="0.25">
      <c r="D76" s="55" t="s">
        <v>297</v>
      </c>
      <c r="E76" s="91" t="str">
        <f xml:space="preserve"> E$55</f>
        <v xml:space="preserve">Forecast Period Total </v>
      </c>
      <c r="F76" s="7">
        <f xml:space="preserve"> F$55</f>
        <v>5</v>
      </c>
      <c r="G76" s="7" t="str">
        <f xml:space="preserve"> G$55</f>
        <v>columns</v>
      </c>
    </row>
    <row r="77" spans="1:18" x14ac:dyDescent="0.25">
      <c r="D77" s="55" t="s">
        <v>297</v>
      </c>
      <c r="E77" s="91" t="str">
        <f xml:space="preserve"> E$69</f>
        <v>Post Forecast Period Total</v>
      </c>
      <c r="F77" s="7">
        <f xml:space="preserve"> F$69</f>
        <v>1</v>
      </c>
      <c r="G77" s="7" t="str">
        <f xml:space="preserve"> G$69</f>
        <v>columns</v>
      </c>
    </row>
    <row r="78" spans="1:18" x14ac:dyDescent="0.25">
      <c r="A78" s="49"/>
      <c r="D78" s="57"/>
      <c r="E78" s="92" t="s">
        <v>317</v>
      </c>
      <c r="F78" s="33">
        <f xml:space="preserve"> IF(F74 - SUM(F75:F77) &lt;&gt; 0, 1, 0)</f>
        <v>0</v>
      </c>
      <c r="G78" s="7" t="s">
        <v>318</v>
      </c>
    </row>
    <row r="80" spans="1:18" x14ac:dyDescent="0.25">
      <c r="A80" s="133" t="s">
        <v>319</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4">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320</v>
      </c>
      <c r="G86" s="7" t="s">
        <v>321</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3">
      <c r="A89" s="10" t="s">
        <v>114</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O7" activePane="bottomRight" state="frozen"/>
      <selection pane="topRight"/>
      <selection pane="bottomLeft"/>
      <selection pane="bottomRight" activeCell="O135" sqref="O135"/>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7" width="11.54296875" style="7" customWidth="1"/>
    <col min="8" max="8" width="51.81640625" style="7" bestFit="1"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5">
      <c r="A5" s="24"/>
      <c r="B5" s="60"/>
      <c r="C5" s="109"/>
      <c r="D5" s="54"/>
      <c r="E5" s="21"/>
      <c r="F5" s="21"/>
      <c r="G5" s="226"/>
      <c r="H5" s="21"/>
      <c r="I5" s="21"/>
      <c r="J5"/>
      <c r="K5"/>
      <c r="L5"/>
      <c r="M5"/>
      <c r="N5"/>
      <c r="O5"/>
      <c r="P5"/>
      <c r="Q5"/>
      <c r="R5"/>
    </row>
    <row r="6" spans="1:78"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5" t="s">
        <v>150</v>
      </c>
      <c r="B9" s="286"/>
      <c r="C9" s="287"/>
      <c r="D9" s="287"/>
      <c r="E9" s="287"/>
      <c r="F9" s="287"/>
      <c r="G9" s="287"/>
      <c r="H9" s="287"/>
      <c r="I9" s="287"/>
      <c r="J9" s="287"/>
      <c r="K9" s="287"/>
      <c r="L9" s="287"/>
      <c r="M9" s="287"/>
      <c r="N9" s="287"/>
      <c r="O9" s="287"/>
      <c r="P9" s="287"/>
      <c r="Q9" s="287"/>
      <c r="R9" s="287"/>
    </row>
    <row r="10" spans="1:78" x14ac:dyDescent="0.25">
      <c r="B10" s="61" t="s">
        <v>151</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296.82</v>
      </c>
      <c r="N11" s="231">
        <f xml:space="preserve"> InpR!N$27</f>
        <v>305.33</v>
      </c>
      <c r="O11" s="231">
        <f xml:space="preserve"> InpR!O$27</f>
        <v>314.69</v>
      </c>
      <c r="P11" s="231">
        <f xml:space="preserve"> InpR!P$27</f>
        <v>324.76</v>
      </c>
      <c r="Q11" s="231">
        <f xml:space="preserve"> InpR!Q$27</f>
        <v>335.15</v>
      </c>
      <c r="R11" s="231">
        <f xml:space="preserve"> InpR!R$27</f>
        <v>345.21</v>
      </c>
    </row>
    <row r="12" spans="1:78" s="65" customFormat="1" x14ac:dyDescent="0.25">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v>
      </c>
      <c r="N12" s="231">
        <f xml:space="preserve"> InpR!N$28</f>
        <v>306.08</v>
      </c>
      <c r="O12" s="231">
        <f xml:space="preserve"> InpR!O$28</f>
        <v>315.52</v>
      </c>
      <c r="P12" s="231">
        <f xml:space="preserve"> InpR!P$28</f>
        <v>325.62</v>
      </c>
      <c r="Q12" s="231">
        <f xml:space="preserve"> InpR!Q$28</f>
        <v>336.04</v>
      </c>
      <c r="R12" s="231">
        <f xml:space="preserve"> InpR!R$28</f>
        <v>346.12</v>
      </c>
    </row>
    <row r="13" spans="1:78" s="65" customFormat="1" x14ac:dyDescent="0.25">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298.19</v>
      </c>
      <c r="N13" s="231">
        <f xml:space="preserve"> InpR!N$29</f>
        <v>306.83999999999997</v>
      </c>
      <c r="O13" s="231">
        <f xml:space="preserve"> InpR!O$29</f>
        <v>316.35000000000002</v>
      </c>
      <c r="P13" s="231">
        <f xml:space="preserve"> InpR!P$29</f>
        <v>326.47000000000003</v>
      </c>
      <c r="Q13" s="231">
        <f xml:space="preserve"> InpR!Q$29</f>
        <v>336.92</v>
      </c>
      <c r="R13" s="231">
        <f xml:space="preserve"> InpR!R$29</f>
        <v>347.03</v>
      </c>
    </row>
    <row r="14" spans="1:78" s="65" customFormat="1" x14ac:dyDescent="0.25">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298.88</v>
      </c>
      <c r="N14" s="231">
        <f xml:space="preserve"> InpR!N$30</f>
        <v>307.58999999999997</v>
      </c>
      <c r="O14" s="231">
        <f xml:space="preserve"> InpR!O$30</f>
        <v>317.18</v>
      </c>
      <c r="P14" s="231">
        <f xml:space="preserve"> InpR!P$30</f>
        <v>327.33</v>
      </c>
      <c r="Q14" s="231">
        <f xml:space="preserve"> InpR!Q$30</f>
        <v>337.8</v>
      </c>
      <c r="R14" s="231">
        <f xml:space="preserve"> InpR!R$30</f>
        <v>347.94</v>
      </c>
    </row>
    <row r="15" spans="1:78" s="65" customFormat="1" x14ac:dyDescent="0.25">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v>
      </c>
      <c r="N15" s="231">
        <f xml:space="preserve"> InpR!N$31</f>
        <v>308.35000000000002</v>
      </c>
      <c r="O15" s="231">
        <f xml:space="preserve"> InpR!O$31</f>
        <v>318.01</v>
      </c>
      <c r="P15" s="231">
        <f xml:space="preserve"> InpR!P$31</f>
        <v>328.19</v>
      </c>
      <c r="Q15" s="231">
        <f xml:space="preserve"> InpR!Q$31</f>
        <v>338.69</v>
      </c>
      <c r="R15" s="231">
        <f xml:space="preserve"> InpR!R$31</f>
        <v>348.85</v>
      </c>
    </row>
    <row r="16" spans="1:78" s="65" customFormat="1" x14ac:dyDescent="0.25">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292.14999999999998</v>
      </c>
      <c r="M16" s="231">
        <f xml:space="preserve"> InpR!M$32</f>
        <v>300.25</v>
      </c>
      <c r="N16" s="231">
        <f xml:space="preserve"> InpR!N$32</f>
        <v>309.11</v>
      </c>
      <c r="O16" s="231">
        <f xml:space="preserve"> InpR!O$32</f>
        <v>318.85000000000002</v>
      </c>
      <c r="P16" s="231">
        <f xml:space="preserve"> InpR!P$32</f>
        <v>329.05</v>
      </c>
      <c r="Q16" s="231">
        <f xml:space="preserve"> InpR!Q$32</f>
        <v>339.58</v>
      </c>
      <c r="R16" s="231">
        <f xml:space="preserve"> InpR!R$32</f>
        <v>349.77</v>
      </c>
    </row>
    <row r="17" spans="1:18" s="65" customFormat="1" x14ac:dyDescent="0.25">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292.8</v>
      </c>
      <c r="M17" s="231">
        <f xml:space="preserve"> InpR!M$33</f>
        <v>300.95</v>
      </c>
      <c r="N17" s="231">
        <f xml:space="preserve"> InpR!N$33</f>
        <v>309.87</v>
      </c>
      <c r="O17" s="231">
        <f xml:space="preserve"> InpR!O$33</f>
        <v>319.69</v>
      </c>
      <c r="P17" s="231">
        <f xml:space="preserve"> InpR!P$33</f>
        <v>329.92</v>
      </c>
      <c r="Q17" s="231">
        <f xml:space="preserve"> InpR!Q$33</f>
        <v>340.47</v>
      </c>
      <c r="R17" s="231">
        <f xml:space="preserve"> InpR!R$33</f>
        <v>350.69</v>
      </c>
    </row>
    <row r="18" spans="1:18" s="65" customFormat="1" x14ac:dyDescent="0.25">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293.45</v>
      </c>
      <c r="M18" s="231">
        <f xml:space="preserve"> InpR!M$34</f>
        <v>301.64</v>
      </c>
      <c r="N18" s="231">
        <f xml:space="preserve"> InpR!N$34</f>
        <v>310.64</v>
      </c>
      <c r="O18" s="231">
        <f xml:space="preserve"> InpR!O$34</f>
        <v>320.52999999999997</v>
      </c>
      <c r="P18" s="231">
        <f xml:space="preserve"> InpR!P$34</f>
        <v>330.78</v>
      </c>
      <c r="Q18" s="231">
        <f xml:space="preserve"> InpR!Q$34</f>
        <v>341.37</v>
      </c>
      <c r="R18" s="231">
        <f xml:space="preserve"> InpR!R$34</f>
        <v>351.61</v>
      </c>
    </row>
    <row r="19" spans="1:18" s="65" customFormat="1" x14ac:dyDescent="0.25">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294.10000000000002</v>
      </c>
      <c r="M19" s="231">
        <f xml:space="preserve"> InpR!M$35</f>
        <v>302.33999999999997</v>
      </c>
      <c r="N19" s="231">
        <f xml:space="preserve"> InpR!N$35</f>
        <v>311.41000000000003</v>
      </c>
      <c r="O19" s="231">
        <f xml:space="preserve"> InpR!O$35</f>
        <v>321.37</v>
      </c>
      <c r="P19" s="231">
        <f xml:space="preserve"> InpR!P$35</f>
        <v>331.65</v>
      </c>
      <c r="Q19" s="231">
        <f xml:space="preserve"> InpR!Q$35</f>
        <v>342.27</v>
      </c>
      <c r="R19" s="231">
        <f xml:space="preserve"> InpR!R$35</f>
        <v>352.53</v>
      </c>
    </row>
    <row r="20" spans="1:18" s="65" customFormat="1" x14ac:dyDescent="0.25">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294.77999999999997</v>
      </c>
      <c r="M20" s="231">
        <f xml:space="preserve"> InpR!M$36</f>
        <v>303.08</v>
      </c>
      <c r="N20" s="231">
        <f xml:space="preserve"> InpR!N$36</f>
        <v>312.22000000000003</v>
      </c>
      <c r="O20" s="231">
        <f xml:space="preserve"> InpR!O$36</f>
        <v>322.20999999999998</v>
      </c>
      <c r="P20" s="231">
        <f xml:space="preserve"> InpR!P$36</f>
        <v>332.53</v>
      </c>
      <c r="Q20" s="231">
        <f xml:space="preserve"> InpR!Q$36</f>
        <v>343.17</v>
      </c>
      <c r="R20" s="231">
        <f xml:space="preserve"> InpR!R$36</f>
        <v>353.46</v>
      </c>
    </row>
    <row r="21" spans="1:18" s="65" customFormat="1" x14ac:dyDescent="0.25">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295.45999999999998</v>
      </c>
      <c r="M21" s="231">
        <f xml:space="preserve"> InpR!M$37</f>
        <v>303.83</v>
      </c>
      <c r="N21" s="231">
        <f xml:space="preserve"> InpR!N$37</f>
        <v>313.04000000000002</v>
      </c>
      <c r="O21" s="231">
        <f xml:space="preserve"> InpR!O$37</f>
        <v>323.06</v>
      </c>
      <c r="P21" s="231">
        <f xml:space="preserve"> InpR!P$37</f>
        <v>333.4</v>
      </c>
      <c r="Q21" s="231">
        <f xml:space="preserve"> InpR!Q$37</f>
        <v>344.07</v>
      </c>
      <c r="R21" s="231">
        <f xml:space="preserve"> InpR!R$37</f>
        <v>354.39</v>
      </c>
    </row>
    <row r="22" spans="1:18" s="65" customFormat="1" x14ac:dyDescent="0.25">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296.14</v>
      </c>
      <c r="M22" s="231">
        <f xml:space="preserve"> InpR!M$38</f>
        <v>304.58</v>
      </c>
      <c r="N22" s="231">
        <f xml:space="preserve"> InpR!N$38</f>
        <v>313.87</v>
      </c>
      <c r="O22" s="231">
        <f xml:space="preserve"> InpR!O$38</f>
        <v>323.91000000000003</v>
      </c>
      <c r="P22" s="231">
        <f xml:space="preserve"> InpR!P$38</f>
        <v>334.28</v>
      </c>
      <c r="Q22" s="231">
        <f xml:space="preserve"> InpR!Q$38</f>
        <v>344.97</v>
      </c>
      <c r="R22" s="231">
        <f xml:space="preserve"> InpR!R$38</f>
        <v>355.32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322</v>
      </c>
      <c r="F24" s="91"/>
      <c r="G24" s="91" t="s">
        <v>153</v>
      </c>
      <c r="H24" s="7"/>
      <c r="I24" s="7"/>
      <c r="J24" s="91">
        <f xml:space="preserve"> SUM(J11:J22) / 12</f>
        <v>0</v>
      </c>
      <c r="K24" s="91">
        <f t="shared" ref="K24:R24" si="0" xml:space="preserve"> SUM(K11:K22) / 12</f>
        <v>283.30833333333334</v>
      </c>
      <c r="L24" s="91">
        <f t="shared" si="0"/>
        <v>292.23999999999995</v>
      </c>
      <c r="M24" s="91">
        <f t="shared" si="0"/>
        <v>300.63499999999993</v>
      </c>
      <c r="N24" s="91">
        <f t="shared" si="0"/>
        <v>309.52916666666664</v>
      </c>
      <c r="O24" s="91">
        <f t="shared" si="0"/>
        <v>319.28083333333331</v>
      </c>
      <c r="P24" s="91">
        <f t="shared" si="0"/>
        <v>329.49833333333339</v>
      </c>
      <c r="Q24" s="91">
        <f t="shared" si="0"/>
        <v>340.04166666666669</v>
      </c>
      <c r="R24" s="91">
        <f t="shared" si="0"/>
        <v>350.24333333333334</v>
      </c>
    </row>
    <row r="25" spans="1:18" s="65" customFormat="1" x14ac:dyDescent="0.25">
      <c r="A25" s="50"/>
      <c r="B25" s="61"/>
      <c r="C25" s="116"/>
      <c r="D25" s="55"/>
      <c r="E25" s="91" t="s">
        <v>323</v>
      </c>
      <c r="F25" s="7"/>
      <c r="G25" s="91" t="s">
        <v>248</v>
      </c>
      <c r="H25" s="7"/>
      <c r="I25" s="7"/>
      <c r="J25" s="232">
        <f xml:space="preserve"> IF(I$24 = 0, 0, J$24 / I$24 - 1)</f>
        <v>0</v>
      </c>
      <c r="K25" s="232">
        <f t="shared" ref="K25:R25" si="1" xml:space="preserve"> IF(J$24 = 0, 0, K$24 / J$24 - 1)</f>
        <v>0</v>
      </c>
      <c r="L25" s="232">
        <f t="shared" si="1"/>
        <v>3.152631114510096E-2</v>
      </c>
      <c r="M25" s="232">
        <f t="shared" si="1"/>
        <v>2.8726389269093877E-2</v>
      </c>
      <c r="N25" s="232">
        <f t="shared" si="1"/>
        <v>2.9584601482417927E-2</v>
      </c>
      <c r="O25" s="232">
        <f t="shared" si="1"/>
        <v>3.1504839339319135E-2</v>
      </c>
      <c r="P25" s="232">
        <f t="shared" si="1"/>
        <v>3.2001607779984953E-2</v>
      </c>
      <c r="Q25" s="232">
        <f t="shared" si="1"/>
        <v>3.1998138584413471E-2</v>
      </c>
      <c r="R25" s="232">
        <f t="shared" si="1"/>
        <v>3.0001225340031912E-2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296.14</v>
      </c>
      <c r="M27" s="91">
        <f t="shared" si="2"/>
        <v>304.58</v>
      </c>
      <c r="N27" s="91">
        <f t="shared" si="2"/>
        <v>313.87</v>
      </c>
      <c r="O27" s="91">
        <f t="shared" si="2"/>
        <v>323.91000000000003</v>
      </c>
      <c r="P27" s="91">
        <f t="shared" si="2"/>
        <v>334.28</v>
      </c>
      <c r="Q27" s="91">
        <f t="shared" si="2"/>
        <v>344.97</v>
      </c>
      <c r="R27" s="91">
        <f t="shared" si="2"/>
        <v>355.32</v>
      </c>
    </row>
    <row r="28" spans="1:18" s="65" customFormat="1" x14ac:dyDescent="0.25">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292.23999999999995</v>
      </c>
      <c r="M28" s="91">
        <f t="shared" si="3"/>
        <v>300.63499999999993</v>
      </c>
      <c r="N28" s="91">
        <f t="shared" si="3"/>
        <v>309.52916666666664</v>
      </c>
      <c r="O28" s="91">
        <f t="shared" si="3"/>
        <v>319.28083333333331</v>
      </c>
      <c r="P28" s="91">
        <f t="shared" si="3"/>
        <v>329.49833333333339</v>
      </c>
      <c r="Q28" s="91">
        <f t="shared" si="3"/>
        <v>340.04166666666669</v>
      </c>
      <c r="R28" s="91">
        <f t="shared" si="3"/>
        <v>350.24333333333334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324</v>
      </c>
      <c r="F30" s="7"/>
      <c r="G30" s="91" t="s">
        <v>248</v>
      </c>
      <c r="H30" s="7"/>
      <c r="I30" s="7"/>
      <c r="J30" s="232">
        <f xml:space="preserve"> IFERROR((J28 / I27 - 1) * J29, 0)</f>
        <v>0</v>
      </c>
      <c r="K30" s="232">
        <f t="shared" ref="K30:R30" si="4" xml:space="preserve"> IFERROR((K28 / J27 - 1) * K29, 0)</f>
        <v>0</v>
      </c>
      <c r="L30" s="232">
        <f t="shared" si="4"/>
        <v>0</v>
      </c>
      <c r="M30" s="232">
        <f xml:space="preserve"> IFERROR((M28 / L27 - 1) * M29, 0)</f>
        <v>1.5178631728236525E-2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177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v>
      </c>
      <c r="N33" s="231">
        <f>InpR!N$41</f>
        <v>111.9</v>
      </c>
      <c r="O33" s="231">
        <f>InpR!O$41</f>
        <v>114.17</v>
      </c>
      <c r="P33" s="231">
        <f>InpR!P$41</f>
        <v>116.57</v>
      </c>
      <c r="Q33" s="231">
        <f>InpR!Q$41</f>
        <v>119.02</v>
      </c>
      <c r="R33" s="231">
        <f>InpR!R$41</f>
        <v>121.4</v>
      </c>
    </row>
    <row r="34" spans="1:18" s="65" customFormat="1" x14ac:dyDescent="0.25">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v>
      </c>
      <c r="N34" s="231">
        <f>InpR!N$42</f>
        <v>112.08</v>
      </c>
      <c r="O34" s="231">
        <f>InpR!O$42</f>
        <v>114.37</v>
      </c>
      <c r="P34" s="231">
        <f>InpR!P$42</f>
        <v>116.77</v>
      </c>
      <c r="Q34" s="231">
        <f>InpR!Q$42</f>
        <v>119.22</v>
      </c>
      <c r="R34" s="231">
        <f>InpR!R$42</f>
        <v>121.61</v>
      </c>
    </row>
    <row r="35" spans="1:18" s="65" customFormat="1" x14ac:dyDescent="0.25">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110.07</v>
      </c>
      <c r="N35" s="231">
        <f>InpR!N$43</f>
        <v>112.27</v>
      </c>
      <c r="O35" s="231">
        <f>InpR!O$43</f>
        <v>114.57</v>
      </c>
      <c r="P35" s="231">
        <f>InpR!P$43</f>
        <v>116.97</v>
      </c>
      <c r="Q35" s="231">
        <f>InpR!Q$43</f>
        <v>119.43</v>
      </c>
      <c r="R35" s="231">
        <f>InpR!R$43</f>
        <v>121.82</v>
      </c>
    </row>
    <row r="36" spans="1:18" s="65" customFormat="1" x14ac:dyDescent="0.25">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110.25</v>
      </c>
      <c r="N36" s="231">
        <f>InpR!N$44</f>
        <v>112.45</v>
      </c>
      <c r="O36" s="231">
        <f>InpR!O$44</f>
        <v>114.77</v>
      </c>
      <c r="P36" s="231">
        <f>InpR!P$44</f>
        <v>117.18</v>
      </c>
      <c r="Q36" s="231">
        <f>InpR!Q$44</f>
        <v>119.64</v>
      </c>
      <c r="R36" s="231">
        <f>InpR!R$44</f>
        <v>122.03</v>
      </c>
    </row>
    <row r="37" spans="1:18" s="65" customFormat="1" x14ac:dyDescent="0.25">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110.43</v>
      </c>
      <c r="N37" s="231">
        <f>InpR!N$45</f>
        <v>112.64</v>
      </c>
      <c r="O37" s="231">
        <f>InpR!O$45</f>
        <v>114.97</v>
      </c>
      <c r="P37" s="231">
        <f>InpR!P$45</f>
        <v>117.38</v>
      </c>
      <c r="Q37" s="231">
        <f>InpR!Q$45</f>
        <v>119.85</v>
      </c>
      <c r="R37" s="231">
        <f>InpR!R$45</f>
        <v>122.24</v>
      </c>
    </row>
    <row r="38" spans="1:18" s="65" customFormat="1" x14ac:dyDescent="0.25">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108.47</v>
      </c>
      <c r="M38" s="231">
        <f>InpR!M$46</f>
        <v>110.61</v>
      </c>
      <c r="N38" s="231">
        <f>InpR!N$46</f>
        <v>112.82</v>
      </c>
      <c r="O38" s="231">
        <f>InpR!O$46</f>
        <v>115.17</v>
      </c>
      <c r="P38" s="231">
        <f>InpR!P$46</f>
        <v>117.58</v>
      </c>
      <c r="Q38" s="231">
        <f>InpR!Q$46</f>
        <v>120.05</v>
      </c>
      <c r="R38" s="231">
        <f>InpR!R$46</f>
        <v>122.45</v>
      </c>
    </row>
    <row r="39" spans="1:18" s="65" customFormat="1" x14ac:dyDescent="0.25">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v>
      </c>
      <c r="M39" s="231">
        <f>InpR!M$47</f>
        <v>110.79</v>
      </c>
      <c r="N39" s="231">
        <f>InpR!N$47</f>
        <v>113.01</v>
      </c>
      <c r="O39" s="231">
        <f>InpR!O$47</f>
        <v>115.37</v>
      </c>
      <c r="P39" s="231">
        <f>InpR!P$47</f>
        <v>117.79</v>
      </c>
      <c r="Q39" s="231">
        <f>InpR!Q$47</f>
        <v>120.26</v>
      </c>
      <c r="R39" s="231">
        <f>InpR!R$47</f>
        <v>122.67</v>
      </c>
    </row>
    <row r="40" spans="1:18" s="65" customFormat="1" x14ac:dyDescent="0.25">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v>
      </c>
      <c r="M40" s="231">
        <f>InpR!M$48</f>
        <v>110.98</v>
      </c>
      <c r="N40" s="231">
        <f>InpR!N$48</f>
        <v>113.2</v>
      </c>
      <c r="O40" s="231">
        <f>InpR!O$48</f>
        <v>115.57</v>
      </c>
      <c r="P40" s="231">
        <f>InpR!P$48</f>
        <v>117.99</v>
      </c>
      <c r="Q40" s="231">
        <f>InpR!Q$48</f>
        <v>120.47</v>
      </c>
      <c r="R40" s="231">
        <f>InpR!R$48</f>
        <v>122.88</v>
      </c>
    </row>
    <row r="41" spans="1:18" s="65" customFormat="1" x14ac:dyDescent="0.25">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v>
      </c>
      <c r="M41" s="231">
        <f>InpR!M$49</f>
        <v>111.16</v>
      </c>
      <c r="N41" s="231">
        <f>InpR!N$49</f>
        <v>113.38</v>
      </c>
      <c r="O41" s="231">
        <f>InpR!O$49</f>
        <v>115.77</v>
      </c>
      <c r="P41" s="231">
        <f>InpR!P$49</f>
        <v>118.2</v>
      </c>
      <c r="Q41" s="231">
        <f>InpR!Q$49</f>
        <v>120.68</v>
      </c>
      <c r="R41" s="231">
        <f>InpR!R$49</f>
        <v>123.09</v>
      </c>
    </row>
    <row r="42" spans="1:18" s="65" customFormat="1" x14ac:dyDescent="0.25">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v>
      </c>
      <c r="M42" s="231">
        <f>InpR!M$50</f>
        <v>111.34</v>
      </c>
      <c r="N42" s="231">
        <f>InpR!N$50</f>
        <v>113.58</v>
      </c>
      <c r="O42" s="231">
        <f>InpR!O$50</f>
        <v>115.97</v>
      </c>
      <c r="P42" s="231">
        <f>InpR!P$50</f>
        <v>118.4</v>
      </c>
      <c r="Q42" s="231">
        <f>InpR!Q$50</f>
        <v>120.89</v>
      </c>
      <c r="R42" s="231">
        <f>InpR!R$50</f>
        <v>123.31</v>
      </c>
    </row>
    <row r="43" spans="1:18" s="65" customFormat="1" x14ac:dyDescent="0.25">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v>
      </c>
      <c r="M43" s="231">
        <f>InpR!M$51</f>
        <v>111.53</v>
      </c>
      <c r="N43" s="231">
        <f>InpR!N$51</f>
        <v>113.78</v>
      </c>
      <c r="O43" s="231">
        <f>InpR!O$51</f>
        <v>116.17</v>
      </c>
      <c r="P43" s="231">
        <f>InpR!P$51</f>
        <v>118.61</v>
      </c>
      <c r="Q43" s="231">
        <f>InpR!Q$51</f>
        <v>121.1</v>
      </c>
      <c r="R43" s="231">
        <f>InpR!R$51</f>
        <v>123.52</v>
      </c>
    </row>
    <row r="44" spans="1:18" s="65" customFormat="1" x14ac:dyDescent="0.25">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v>
      </c>
      <c r="M44" s="231">
        <f>InpR!M$52</f>
        <v>111.71</v>
      </c>
      <c r="N44" s="231">
        <f>InpR!N$52</f>
        <v>113.98</v>
      </c>
      <c r="O44" s="231">
        <f>InpR!O$52</f>
        <v>116.37</v>
      </c>
      <c r="P44" s="231">
        <f>InpR!P$52</f>
        <v>118.81</v>
      </c>
      <c r="Q44" s="231">
        <f>InpR!Q$52</f>
        <v>121.31</v>
      </c>
      <c r="R44" s="231">
        <f>InpR!R$52</f>
        <v>123.73</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325</v>
      </c>
      <c r="F46" s="91"/>
      <c r="G46" s="91" t="s">
        <v>153</v>
      </c>
      <c r="H46" s="7"/>
      <c r="I46" s="7"/>
      <c r="J46" s="230">
        <f xml:space="preserve"> SUM(J33:J44) / 12</f>
        <v>104.21666666666665</v>
      </c>
      <c r="K46" s="230">
        <f t="shared" ref="K46:R46" si="5" xml:space="preserve"> SUM(K33:K44) / 12</f>
        <v>106.43333333333334</v>
      </c>
      <c r="L46" s="230">
        <f t="shared" si="5"/>
        <v>108.55166666666666</v>
      </c>
      <c r="M46" s="230">
        <f t="shared" si="5"/>
        <v>110.70416666666665</v>
      </c>
      <c r="N46" s="230">
        <f t="shared" si="5"/>
        <v>112.92416666666668</v>
      </c>
      <c r="O46" s="230">
        <f t="shared" si="5"/>
        <v>115.27000000000002</v>
      </c>
      <c r="P46" s="230">
        <f t="shared" si="5"/>
        <v>117.68749999999999</v>
      </c>
      <c r="Q46" s="230">
        <f t="shared" si="5"/>
        <v>120.15999999999998</v>
      </c>
      <c r="R46" s="230">
        <f t="shared" si="5"/>
        <v>122.5625</v>
      </c>
    </row>
    <row r="47" spans="1:18" s="65" customFormat="1" x14ac:dyDescent="0.25">
      <c r="A47" s="50"/>
      <c r="B47" s="61"/>
      <c r="C47" s="116"/>
      <c r="D47" s="55"/>
      <c r="E47" s="237" t="s">
        <v>326</v>
      </c>
      <c r="F47" s="237"/>
      <c r="G47" s="237" t="s">
        <v>248</v>
      </c>
      <c r="H47" s="237"/>
      <c r="I47" s="237"/>
      <c r="J47" s="238">
        <f xml:space="preserve"> IF(I$46 = 0, 0, J$46 / $J$46)</f>
        <v>0</v>
      </c>
      <c r="K47" s="238">
        <f xml:space="preserve"> IF(J$46 = 0, 0, K$46 / $J$46)</f>
        <v>1.0212697905005599</v>
      </c>
      <c r="L47" s="238">
        <f t="shared" ref="L47:R47" si="6" xml:space="preserve"> IF(K$46 = 0, 0, L$46 / $J$46)</f>
        <v>1.0415960339037262</v>
      </c>
      <c r="M47" s="238">
        <f t="shared" si="6"/>
        <v>1.0622501199424277</v>
      </c>
      <c r="N47" s="238">
        <f t="shared" si="6"/>
        <v>1.0835518950903569</v>
      </c>
      <c r="O47" s="238">
        <f t="shared" si="6"/>
        <v>1.1060610906764756</v>
      </c>
      <c r="P47" s="238">
        <f t="shared" si="6"/>
        <v>1.1292579561810332</v>
      </c>
      <c r="Q47" s="238">
        <f t="shared" si="6"/>
        <v>1.1529825683671837</v>
      </c>
      <c r="R47" s="238">
        <f t="shared" si="6"/>
        <v>1.1760355029585801</v>
      </c>
    </row>
    <row r="48" spans="1:18" s="65" customFormat="1" x14ac:dyDescent="0.25">
      <c r="A48" s="50"/>
      <c r="B48" s="61"/>
      <c r="C48" s="116"/>
      <c r="D48" s="55"/>
      <c r="E48" s="91" t="s">
        <v>327</v>
      </c>
      <c r="F48" s="7"/>
      <c r="G48" s="91" t="s">
        <v>248</v>
      </c>
      <c r="H48" s="7"/>
      <c r="I48" s="7"/>
      <c r="J48" s="232">
        <f xml:space="preserve"> IF(I$46 = 0, 0, J$46 / I$46 - 1)</f>
        <v>0</v>
      </c>
      <c r="K48" s="232">
        <f t="shared" ref="K48:R48" si="7" xml:space="preserve"> IF(J$46 = 0, 0, K$46 / J$46 - 1)</f>
        <v>2.1269790500559882E-2</v>
      </c>
      <c r="L48" s="232">
        <f t="shared" si="7"/>
        <v>1.9902912621359237E-2</v>
      </c>
      <c r="M48" s="232">
        <f t="shared" si="7"/>
        <v>1.9829267169243492E-2</v>
      </c>
      <c r="N48" s="232">
        <f t="shared" si="7"/>
        <v>2.0053445745041421E-2</v>
      </c>
      <c r="O48" s="232">
        <f t="shared" si="7"/>
        <v>2.0773527957552718E-2</v>
      </c>
      <c r="P48" s="232">
        <f t="shared" si="7"/>
        <v>2.0972499349353413E-2</v>
      </c>
      <c r="Q48" s="232">
        <f t="shared" si="7"/>
        <v>2.1009028146574682E-2</v>
      </c>
      <c r="R48" s="232">
        <f t="shared" si="7"/>
        <v>1.999417443408813E-2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v>
      </c>
      <c r="M50" s="91">
        <f t="shared" si="8"/>
        <v>111.71</v>
      </c>
      <c r="N50" s="91">
        <f t="shared" si="8"/>
        <v>113.98</v>
      </c>
      <c r="O50" s="91">
        <f t="shared" si="8"/>
        <v>116.37</v>
      </c>
      <c r="P50" s="91">
        <f t="shared" si="8"/>
        <v>118.81</v>
      </c>
      <c r="Q50" s="91">
        <f t="shared" si="8"/>
        <v>121.31</v>
      </c>
      <c r="R50" s="91">
        <f t="shared" si="8"/>
        <v>123.73</v>
      </c>
    </row>
    <row r="51" spans="1:18" s="65" customFormat="1" x14ac:dyDescent="0.25">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108.55166666666666</v>
      </c>
      <c r="M51" s="91">
        <f t="shared" si="9"/>
        <v>110.70416666666665</v>
      </c>
      <c r="N51" s="91">
        <f t="shared" si="9"/>
        <v>112.92416666666668</v>
      </c>
      <c r="O51" s="91">
        <f t="shared" si="9"/>
        <v>115.27000000000002</v>
      </c>
      <c r="P51" s="91">
        <f t="shared" si="9"/>
        <v>117.68749999999999</v>
      </c>
      <c r="Q51" s="91">
        <f t="shared" si="9"/>
        <v>120.15999999999998</v>
      </c>
      <c r="R51" s="91">
        <f t="shared" si="9"/>
        <v>122.5625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328</v>
      </c>
      <c r="F53" s="7"/>
      <c r="G53" s="91" t="s">
        <v>248</v>
      </c>
      <c r="H53" s="7"/>
      <c r="I53" s="7"/>
      <c r="J53" s="232">
        <f t="shared" ref="J53:R53" si="10" xml:space="preserve"> IFERROR((J51 / I50 - 1) * J52, 0)</f>
        <v>0</v>
      </c>
      <c r="K53" s="232">
        <f t="shared" si="10"/>
        <v>0</v>
      </c>
      <c r="L53" s="232">
        <f t="shared" si="10"/>
        <v>0</v>
      </c>
      <c r="M53" s="232">
        <f xml:space="preserve"> IFERROR((M51 / L50 - 1) * M52, 0)</f>
        <v>1.0812332602873065E-2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1.5178631728236525E-2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1.0812332602873065E-2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329</v>
      </c>
      <c r="F57" s="7"/>
      <c r="G57" s="91" t="s">
        <v>248</v>
      </c>
      <c r="H57" s="7"/>
      <c r="I57" s="7"/>
      <c r="J57" s="232">
        <f xml:space="preserve"> (1 + J$55) / (1 + J$56) - 1</f>
        <v>0</v>
      </c>
      <c r="K57" s="232">
        <f t="shared" ref="K57:R57" si="13" xml:space="preserve"> (1 + K$55) / (1 + K$56) - 1</f>
        <v>0</v>
      </c>
      <c r="L57" s="232">
        <f t="shared" si="13"/>
        <v>0</v>
      </c>
      <c r="M57" s="232">
        <f t="shared" si="13"/>
        <v>4.3195942357767692E-3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330</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4.3195942357767692E-3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1.9902912621359237E-2</v>
      </c>
      <c r="M61" s="232">
        <f t="shared" si="15"/>
        <v>1.9829267169243492E-2</v>
      </c>
      <c r="N61" s="232">
        <f t="shared" si="15"/>
        <v>2.0053445745041421E-2</v>
      </c>
      <c r="O61" s="232">
        <f t="shared" si="15"/>
        <v>2.0773527957552718E-2</v>
      </c>
      <c r="P61" s="232">
        <f t="shared" si="15"/>
        <v>2.0972499349353413E-2</v>
      </c>
      <c r="Q61" s="232">
        <f t="shared" si="15"/>
        <v>2.1009028146574682E-2</v>
      </c>
      <c r="R61" s="232">
        <f t="shared" si="15"/>
        <v>1.999417443408813E-2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331</v>
      </c>
      <c r="F63" s="168"/>
      <c r="G63" s="168" t="s">
        <v>248</v>
      </c>
      <c r="H63" s="168"/>
      <c r="I63" s="168"/>
      <c r="J63" s="232">
        <f t="shared" ref="J63:L63" si="16" xml:space="preserve"> ((1 + J$60)  * (1 + J$61) - 1) * J$62</f>
        <v>0</v>
      </c>
      <c r="K63" s="232">
        <f xml:space="preserve"> ((1 + K$60)  * (1 + K$61) - 1) * K$62</f>
        <v>0</v>
      </c>
      <c r="L63" s="232">
        <f t="shared" si="16"/>
        <v>0</v>
      </c>
      <c r="M63" s="232">
        <f xml:space="preserve"> ((1 + M$60)  * (1 + M$61) - 1) * M$62</f>
        <v>2.4234515793184253E-2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2.4234515793184253E-2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3.152631114510096E-2</v>
      </c>
      <c r="M66" s="235">
        <f t="shared" si="19"/>
        <v>2.8726389269093877E-2</v>
      </c>
      <c r="N66" s="235">
        <f t="shared" si="19"/>
        <v>2.9584601482417927E-2</v>
      </c>
      <c r="O66" s="235">
        <f t="shared" si="19"/>
        <v>3.1504839339319135E-2</v>
      </c>
      <c r="P66" s="235">
        <f t="shared" si="19"/>
        <v>3.2001607779984953E-2</v>
      </c>
      <c r="Q66" s="235">
        <f t="shared" si="19"/>
        <v>3.1998138584413471E-2</v>
      </c>
      <c r="R66" s="235">
        <f t="shared" si="19"/>
        <v>3.0001225340031912E-2</v>
      </c>
    </row>
    <row r="67" spans="1:18" s="65" customFormat="1" x14ac:dyDescent="0.25">
      <c r="A67" s="50"/>
      <c r="B67" s="61"/>
      <c r="C67" s="116"/>
      <c r="D67" s="55"/>
      <c r="E67" s="168" t="s">
        <v>332</v>
      </c>
      <c r="F67" s="168"/>
      <c r="G67" s="168" t="s">
        <v>248</v>
      </c>
      <c r="H67" s="7"/>
      <c r="I67" s="7"/>
      <c r="J67" s="236">
        <f xml:space="preserve"> IF(J65 = 0, J66, J65)</f>
        <v>0</v>
      </c>
      <c r="K67" s="236">
        <f xml:space="preserve"> IF(K65 = 0, K66, K65)</f>
        <v>0</v>
      </c>
      <c r="L67" s="236">
        <f t="shared" ref="L67:R67" si="20" xml:space="preserve"> IF(L65 = 0, L66, L65)</f>
        <v>3.152631114510096E-2</v>
      </c>
      <c r="M67" s="236">
        <f t="shared" si="20"/>
        <v>2.4234515793184253E-2</v>
      </c>
      <c r="N67" s="236">
        <f t="shared" si="20"/>
        <v>2.9584601482417927E-2</v>
      </c>
      <c r="O67" s="236">
        <f t="shared" si="20"/>
        <v>3.1504839339319135E-2</v>
      </c>
      <c r="P67" s="236">
        <f t="shared" si="20"/>
        <v>3.2001607779984953E-2</v>
      </c>
      <c r="Q67" s="236">
        <f t="shared" si="20"/>
        <v>3.1998138584413471E-2</v>
      </c>
      <c r="R67" s="236">
        <f t="shared" si="20"/>
        <v>3.0001225340031912E-2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3.152631114510096E-2</v>
      </c>
      <c r="M69" s="235">
        <f t="shared" si="21"/>
        <v>2.4234515793184253E-2</v>
      </c>
      <c r="N69" s="235">
        <f t="shared" si="21"/>
        <v>2.9584601482417927E-2</v>
      </c>
      <c r="O69" s="235">
        <f t="shared" si="21"/>
        <v>3.1504839339319135E-2</v>
      </c>
      <c r="P69" s="235">
        <f t="shared" si="21"/>
        <v>3.2001607779984953E-2</v>
      </c>
      <c r="Q69" s="235">
        <f t="shared" si="21"/>
        <v>3.1998138584413471E-2</v>
      </c>
      <c r="R69" s="235">
        <f t="shared" si="21"/>
        <v>3.0001225340031912E-2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1.9902912621359237E-2</v>
      </c>
      <c r="M70" s="235">
        <f t="shared" si="22"/>
        <v>1.9829267169243492E-2</v>
      </c>
      <c r="N70" s="235">
        <f t="shared" si="22"/>
        <v>2.0053445745041421E-2</v>
      </c>
      <c r="O70" s="235">
        <f t="shared" si="22"/>
        <v>2.0773527957552718E-2</v>
      </c>
      <c r="P70" s="235">
        <f t="shared" si="22"/>
        <v>2.0972499349353413E-2</v>
      </c>
      <c r="Q70" s="235">
        <f t="shared" si="22"/>
        <v>2.1009028146574682E-2</v>
      </c>
      <c r="R70" s="235">
        <f t="shared" si="22"/>
        <v>1.999417443408813E-2</v>
      </c>
    </row>
    <row r="71" spans="1:18" s="65" customFormat="1" x14ac:dyDescent="0.25">
      <c r="A71" s="50"/>
      <c r="B71" s="61"/>
      <c r="C71" s="116"/>
      <c r="D71" s="55"/>
      <c r="E71" s="237" t="s">
        <v>333</v>
      </c>
      <c r="F71" s="237"/>
      <c r="G71" s="237" t="s">
        <v>248</v>
      </c>
      <c r="H71" s="237"/>
      <c r="I71" s="237">
        <f>I$167</f>
        <v>0</v>
      </c>
      <c r="J71" s="238"/>
      <c r="K71" s="238">
        <f>K69-K70</f>
        <v>-2.1269790500559882E-2</v>
      </c>
      <c r="L71" s="238">
        <f t="shared" ref="L71:R71" si="23">L69-L70</f>
        <v>1.1623398523741724E-2</v>
      </c>
      <c r="M71" s="238">
        <f t="shared" si="23"/>
        <v>4.4052486239407607E-3</v>
      </c>
      <c r="N71" s="238">
        <f t="shared" si="23"/>
        <v>9.5311557373765066E-3</v>
      </c>
      <c r="O71" s="238">
        <f t="shared" si="23"/>
        <v>1.0731311381766417E-2</v>
      </c>
      <c r="P71" s="238">
        <f t="shared" si="23"/>
        <v>1.102910843063154E-2</v>
      </c>
      <c r="Q71" s="238">
        <f t="shared" si="23"/>
        <v>1.0989110437838789E-2</v>
      </c>
      <c r="R71" s="238">
        <f t="shared" si="23"/>
        <v>1.0007050905943782E-2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5" t="s">
        <v>202</v>
      </c>
      <c r="B73" s="286"/>
      <c r="C73" s="287"/>
      <c r="D73" s="287"/>
      <c r="E73" s="287"/>
      <c r="F73" s="287"/>
      <c r="G73" s="287"/>
      <c r="H73" s="287"/>
      <c r="I73" s="287"/>
      <c r="J73" s="287"/>
      <c r="K73" s="287"/>
      <c r="L73" s="287"/>
      <c r="M73" s="287"/>
      <c r="N73" s="287"/>
      <c r="O73" s="287"/>
      <c r="P73" s="287"/>
      <c r="Q73" s="287"/>
      <c r="R73" s="287"/>
    </row>
    <row r="74" spans="1:18" s="65" customFormat="1" x14ac:dyDescent="0.25">
      <c r="A74" s="50"/>
      <c r="B74" s="61" t="s">
        <v>203</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377.8</v>
      </c>
      <c r="Q75" s="231">
        <f>InpR!Q$56</f>
        <v>387.9</v>
      </c>
      <c r="R75" s="231">
        <f>InpR!R$56</f>
        <v>399.5</v>
      </c>
    </row>
    <row r="76" spans="1:18" s="65" customFormat="1" x14ac:dyDescent="0.25">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380.6</v>
      </c>
      <c r="Q76" s="231">
        <f>InpR!Q$57</f>
        <v>390.8</v>
      </c>
      <c r="R76" s="231">
        <f>InpR!R$57</f>
        <v>402.5</v>
      </c>
    </row>
    <row r="77" spans="1:18" s="65" customFormat="1" x14ac:dyDescent="0.25">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383.9</v>
      </c>
      <c r="Q77" s="231">
        <f>InpR!Q$58</f>
        <v>394.2</v>
      </c>
      <c r="R77" s="231">
        <f>InpR!R$58</f>
        <v>406</v>
      </c>
    </row>
    <row r="78" spans="1:18" s="65" customFormat="1" x14ac:dyDescent="0.25">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377.9</v>
      </c>
      <c r="Q78" s="231">
        <f>InpR!Q$59</f>
        <v>383.9</v>
      </c>
      <c r="R78" s="231">
        <f>InpR!R$59</f>
        <v>395.4</v>
      </c>
    </row>
    <row r="79" spans="1:18" s="65" customFormat="1" x14ac:dyDescent="0.25">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380.1</v>
      </c>
      <c r="Q79" s="231">
        <f>InpR!Q$60</f>
        <v>386.1</v>
      </c>
      <c r="R79" s="231">
        <f>InpR!R$60</f>
        <v>397.7</v>
      </c>
    </row>
    <row r="80" spans="1:18" s="65" customFormat="1" x14ac:dyDescent="0.25">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382.7</v>
      </c>
      <c r="Q80" s="231">
        <f>InpR!Q$61</f>
        <v>388.8</v>
      </c>
      <c r="R80" s="231">
        <f>InpR!R$61</f>
        <v>400.5</v>
      </c>
    </row>
    <row r="81" spans="1:18" s="65" customFormat="1" x14ac:dyDescent="0.25">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385.1</v>
      </c>
      <c r="Q81" s="231">
        <f>InpR!Q$62</f>
        <v>389.7</v>
      </c>
      <c r="R81" s="231">
        <f>InpR!R$62</f>
        <v>401.4</v>
      </c>
    </row>
    <row r="82" spans="1:18" s="65" customFormat="1" x14ac:dyDescent="0.25">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387.3</v>
      </c>
      <c r="Q82" s="231">
        <f>InpR!Q$63</f>
        <v>391.9</v>
      </c>
      <c r="R82" s="231">
        <f>InpR!R$63</f>
        <v>403.7</v>
      </c>
    </row>
    <row r="83" spans="1:18" s="65" customFormat="1" x14ac:dyDescent="0.25">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389.6</v>
      </c>
      <c r="Q83" s="231">
        <f>InpR!Q$64</f>
        <v>394.2</v>
      </c>
      <c r="R83" s="231">
        <f>InpR!R$64</f>
        <v>406</v>
      </c>
    </row>
    <row r="84" spans="1:18" s="65" customFormat="1" x14ac:dyDescent="0.25">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377.9</v>
      </c>
      <c r="Q84" s="231">
        <f>InpR!Q$65</f>
        <v>381.9</v>
      </c>
      <c r="R84" s="231">
        <f>InpR!R$65</f>
        <v>393.4</v>
      </c>
    </row>
    <row r="85" spans="1:18" s="65" customFormat="1" x14ac:dyDescent="0.25">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382.3</v>
      </c>
      <c r="Q85" s="231">
        <f>InpR!Q$66</f>
        <v>386.4</v>
      </c>
      <c r="R85" s="231">
        <f>InpR!R$66</f>
        <v>398</v>
      </c>
    </row>
    <row r="86" spans="1:18" s="65" customFormat="1" x14ac:dyDescent="0.25">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385.1</v>
      </c>
      <c r="Q86" s="231">
        <f>InpR!Q$67</f>
        <v>389.2</v>
      </c>
      <c r="R86" s="231">
        <f>InpR!R$67</f>
        <v>400.9</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334</v>
      </c>
      <c r="F88" s="91"/>
      <c r="G88" s="91" t="s">
        <v>153</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382.52500000000003</v>
      </c>
      <c r="Q88" s="91">
        <f t="shared" si="24"/>
        <v>388.75</v>
      </c>
      <c r="R88" s="91">
        <f t="shared" si="24"/>
        <v>400.41666666666669</v>
      </c>
    </row>
    <row r="89" spans="1:18" s="65" customFormat="1" x14ac:dyDescent="0.25">
      <c r="A89" s="50"/>
      <c r="B89" s="61"/>
      <c r="C89" s="116"/>
      <c r="D89" s="55"/>
      <c r="E89" s="91" t="s">
        <v>335</v>
      </c>
      <c r="F89" s="7"/>
      <c r="G89" s="91" t="s">
        <v>248</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8.9142504626773533E-2</v>
      </c>
      <c r="Q89" s="232">
        <f t="shared" si="25"/>
        <v>1.6273446179988049E-2</v>
      </c>
      <c r="R89" s="232">
        <f t="shared" si="25"/>
        <v>3.0010718113612E-2</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385.1</v>
      </c>
      <c r="Q91" s="91">
        <f t="shared" si="26"/>
        <v>389.2</v>
      </c>
      <c r="R91" s="91">
        <f t="shared" si="26"/>
        <v>400.9</v>
      </c>
    </row>
    <row r="92" spans="1:18" s="65" customFormat="1" x14ac:dyDescent="0.25">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382.52500000000003</v>
      </c>
      <c r="Q92" s="91">
        <f t="shared" si="27"/>
        <v>388.75</v>
      </c>
      <c r="R92" s="91">
        <f t="shared" si="27"/>
        <v>400.41666666666669</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336</v>
      </c>
      <c r="F94" s="7"/>
      <c r="G94" s="91" t="s">
        <v>248</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217</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129.19999999999999</v>
      </c>
      <c r="Q97" s="231">
        <f>InpR!Q$70</f>
        <v>130.6</v>
      </c>
      <c r="R97" s="231">
        <f>InpR!R$70</f>
        <v>131</v>
      </c>
    </row>
    <row r="98" spans="1:18" s="65" customFormat="1" x14ac:dyDescent="0.25">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130</v>
      </c>
      <c r="Q98" s="231">
        <f>InpR!Q$71</f>
        <v>131.4</v>
      </c>
      <c r="R98" s="231">
        <f>InpR!R$71</f>
        <v>131.80000000000001</v>
      </c>
    </row>
    <row r="99" spans="1:18" s="65" customFormat="1" x14ac:dyDescent="0.25">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131</v>
      </c>
      <c r="Q99" s="231">
        <f>InpR!Q$72</f>
        <v>132.5</v>
      </c>
      <c r="R99" s="231">
        <f>InpR!R$72</f>
        <v>132.9</v>
      </c>
    </row>
    <row r="100" spans="1:18" s="65" customFormat="1" x14ac:dyDescent="0.25">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128.5</v>
      </c>
      <c r="Q100" s="231">
        <f>InpR!Q$73</f>
        <v>129.1</v>
      </c>
      <c r="R100" s="231">
        <f>InpR!R$73</f>
        <v>128.80000000000001</v>
      </c>
    </row>
    <row r="101" spans="1:18" s="65" customFormat="1" x14ac:dyDescent="0.25">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129.19999999999999</v>
      </c>
      <c r="Q101" s="231">
        <f>InpR!Q$74</f>
        <v>129.80000000000001</v>
      </c>
      <c r="R101" s="231">
        <f>InpR!R$74</f>
        <v>129.5</v>
      </c>
    </row>
    <row r="102" spans="1:18" s="65" customFormat="1" x14ac:dyDescent="0.25">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129.80000000000001</v>
      </c>
      <c r="Q102" s="231">
        <f>InpR!Q$75</f>
        <v>130.4</v>
      </c>
      <c r="R102" s="231">
        <f>InpR!R$75</f>
        <v>130.1</v>
      </c>
    </row>
    <row r="103" spans="1:18" s="65" customFormat="1" x14ac:dyDescent="0.25">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130.1</v>
      </c>
      <c r="Q103" s="231">
        <f>InpR!Q$76</f>
        <v>130.5</v>
      </c>
      <c r="R103" s="231">
        <f>InpR!R$76</f>
        <v>130.30000000000001</v>
      </c>
    </row>
    <row r="104" spans="1:18" s="65" customFormat="1" x14ac:dyDescent="0.25">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130.69999999999999</v>
      </c>
      <c r="Q104" s="231">
        <f>InpR!Q$77</f>
        <v>131.1</v>
      </c>
      <c r="R104" s="231">
        <f>InpR!R$77</f>
        <v>130.9</v>
      </c>
    </row>
    <row r="105" spans="1:18" s="65" customFormat="1" x14ac:dyDescent="0.25">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131.30000000000001</v>
      </c>
      <c r="Q105" s="231">
        <f>InpR!Q$78</f>
        <v>131.69999999999999</v>
      </c>
      <c r="R105" s="231">
        <f>InpR!R$78</f>
        <v>131.5</v>
      </c>
    </row>
    <row r="106" spans="1:18" s="65" customFormat="1" x14ac:dyDescent="0.25">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127.7</v>
      </c>
      <c r="Q106" s="231">
        <f>InpR!Q$79</f>
        <v>128.1</v>
      </c>
      <c r="R106" s="231">
        <f>InpR!R$79</f>
        <v>127.7</v>
      </c>
    </row>
    <row r="107" spans="1:18" s="65" customFormat="1" x14ac:dyDescent="0.25">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129</v>
      </c>
      <c r="Q107" s="231">
        <f>InpR!Q$80</f>
        <v>129.4</v>
      </c>
      <c r="R107" s="231">
        <f>InpR!R$80</f>
        <v>129</v>
      </c>
    </row>
    <row r="108" spans="1:18" s="65" customFormat="1" x14ac:dyDescent="0.25">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129.80000000000001</v>
      </c>
      <c r="Q108" s="231">
        <f>InpR!Q$81</f>
        <v>130.19999999999999</v>
      </c>
      <c r="R108" s="231">
        <f>InpR!R$81</f>
        <v>129.80000000000001</v>
      </c>
    </row>
    <row r="109" spans="1:18" s="65" customFormat="1" x14ac:dyDescent="0.25">
      <c r="A109" s="48"/>
      <c r="B109" s="59"/>
      <c r="C109" s="108"/>
      <c r="D109" s="53"/>
      <c r="E109" s="93"/>
      <c r="G109" s="37"/>
    </row>
    <row r="110" spans="1:18" s="65" customFormat="1" x14ac:dyDescent="0.25">
      <c r="A110" s="50"/>
      <c r="B110" s="61"/>
      <c r="C110" s="116"/>
      <c r="D110" s="55"/>
      <c r="E110" s="91" t="s">
        <v>337</v>
      </c>
      <c r="F110" s="91"/>
      <c r="G110" s="91" t="s">
        <v>153</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129.69166666666666</v>
      </c>
      <c r="Q110" s="230">
        <f t="shared" si="35"/>
        <v>130.4</v>
      </c>
      <c r="R110" s="230">
        <f t="shared" si="35"/>
        <v>130.27500000000001</v>
      </c>
    </row>
    <row r="111" spans="1:18" s="65" customFormat="1" x14ac:dyDescent="0.25">
      <c r="A111" s="50"/>
      <c r="B111" s="61"/>
      <c r="C111" s="116"/>
      <c r="D111" s="55"/>
      <c r="E111" s="91" t="s">
        <v>338</v>
      </c>
      <c r="F111" s="91"/>
      <c r="G111" s="91" t="s">
        <v>248</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1.2444426675195908</v>
      </c>
      <c r="Q111" s="232">
        <f t="shared" si="36"/>
        <v>1.2512394050855591</v>
      </c>
      <c r="R111" s="232">
        <f t="shared" si="36"/>
        <v>1.2500399808092117</v>
      </c>
    </row>
    <row r="112" spans="1:18" s="65" customFormat="1" x14ac:dyDescent="0.25">
      <c r="A112" s="50"/>
      <c r="B112" s="61"/>
      <c r="C112" s="116"/>
      <c r="D112" s="55"/>
      <c r="E112" s="91" t="s">
        <v>339</v>
      </c>
      <c r="F112" s="7"/>
      <c r="G112" s="91" t="s">
        <v>248</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5.4046732136810105E-2</v>
      </c>
      <c r="Q112" s="232">
        <f t="shared" si="37"/>
        <v>5.4616719141553638E-3</v>
      </c>
      <c r="R112" s="232">
        <f t="shared" si="37"/>
        <v>-9.5858895705525082E-4</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129.80000000000001</v>
      </c>
      <c r="Q114" s="91">
        <f t="shared" si="39"/>
        <v>130.19999999999999</v>
      </c>
      <c r="R114" s="91">
        <f t="shared" si="39"/>
        <v>129.80000000000001</v>
      </c>
    </row>
    <row r="115" spans="1:18" s="65" customFormat="1" x14ac:dyDescent="0.25">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129.69166666666666</v>
      </c>
      <c r="Q115" s="91">
        <f t="shared" si="41"/>
        <v>130.4</v>
      </c>
      <c r="R115" s="91">
        <f t="shared" si="41"/>
        <v>130.27500000000001</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340</v>
      </c>
      <c r="F117" s="7"/>
      <c r="G117" s="91" t="s">
        <v>248</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341</v>
      </c>
      <c r="F121" s="7"/>
      <c r="G121" s="91" t="s">
        <v>248</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330</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5.4046732136810105E-2</v>
      </c>
      <c r="Q125" s="232">
        <f t="shared" si="53"/>
        <v>5.4616719141553638E-3</v>
      </c>
      <c r="R125" s="232">
        <f t="shared" si="53"/>
        <v>-9.5858895705525082E-4</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342</v>
      </c>
      <c r="F127" s="168"/>
      <c r="G127" s="168" t="s">
        <v>248</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8.9142504626773533E-2</v>
      </c>
      <c r="Q130" s="235">
        <f t="shared" si="56"/>
        <v>1.6273446179988049E-2</v>
      </c>
      <c r="R130" s="235">
        <f t="shared" si="56"/>
        <v>3.0010718113612E-2</v>
      </c>
    </row>
    <row r="131" spans="1:18" s="65" customFormat="1" x14ac:dyDescent="0.25">
      <c r="A131" s="50"/>
      <c r="B131" s="61"/>
      <c r="C131" s="116"/>
      <c r="D131" s="55"/>
      <c r="E131" s="168" t="s">
        <v>343</v>
      </c>
      <c r="F131" s="168"/>
      <c r="G131" s="168" t="s">
        <v>248</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8.9142504626773533E-2</v>
      </c>
      <c r="Q131" s="236">
        <f t="shared" si="57"/>
        <v>1.6273446179988049E-2</v>
      </c>
      <c r="R131" s="236">
        <f t="shared" si="57"/>
        <v>3.0010718113612E-2</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8.9142504626773533E-2</v>
      </c>
      <c r="Q133" s="235">
        <f t="shared" si="58"/>
        <v>1.6273446179988049E-2</v>
      </c>
      <c r="R133" s="235">
        <f t="shared" si="58"/>
        <v>3.0010718113612E-2</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5.4046732136810105E-2</v>
      </c>
      <c r="Q134" s="235">
        <f t="shared" si="59"/>
        <v>5.4616719141553638E-3</v>
      </c>
      <c r="R134" s="235">
        <f t="shared" si="59"/>
        <v>-9.5858895705525082E-4</v>
      </c>
    </row>
    <row r="135" spans="1:18" s="65" customFormat="1" x14ac:dyDescent="0.25">
      <c r="A135" s="50"/>
      <c r="B135" s="61"/>
      <c r="C135" s="116"/>
      <c r="D135" s="55"/>
      <c r="E135" s="237" t="s">
        <v>344</v>
      </c>
      <c r="F135" s="237"/>
      <c r="G135" s="237" t="s">
        <v>248</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3.5095772489963428E-2</v>
      </c>
      <c r="Q135" s="238">
        <f t="shared" si="60"/>
        <v>1.0811774265832685E-2</v>
      </c>
      <c r="R135" s="238">
        <f t="shared" si="60"/>
        <v>3.0969307070667251E-2</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3">
      <c r="A138" s="10" t="s">
        <v>114</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O7" activePane="bottomRight" state="frozen"/>
      <selection pane="topRight"/>
      <selection pane="bottomLeft"/>
      <selection pane="bottomRight" activeCell="R196" sqref="R196"/>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66.006</v>
      </c>
      <c r="N22" s="241">
        <f t="shared" si="3"/>
        <v>62.552025543091069</v>
      </c>
      <c r="O22" s="241">
        <f t="shared" si="3"/>
        <v>59.588433890295988</v>
      </c>
      <c r="P22" s="241">
        <f t="shared" si="3"/>
        <v>56.871122011299356</v>
      </c>
      <c r="Q22" s="241">
        <f t="shared" si="3"/>
        <v>54.303863095619775</v>
      </c>
      <c r="R22" s="241">
        <f t="shared" si="3"/>
        <v>51.852320293828335</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f>M22*M23</f>
        <v>1.5996234494449197</v>
      </c>
      <c r="N24" s="184">
        <f t="shared" si="5"/>
        <v>1.850576747610376</v>
      </c>
      <c r="O24" s="184">
        <f t="shared" si="5"/>
        <v>1.8773240361954147</v>
      </c>
      <c r="P24" s="184">
        <f t="shared" si="5"/>
        <v>1.819967340613271</v>
      </c>
      <c r="Q24" s="184">
        <f t="shared" si="5"/>
        <v>1.7376225370026579</v>
      </c>
      <c r="R24" s="184">
        <f t="shared" si="5"/>
        <v>1.5556331455386536</v>
      </c>
      <c r="S24" s="92"/>
      <c r="T24" s="92"/>
      <c r="U24" s="92"/>
      <c r="V24" s="92"/>
      <c r="W24" s="92"/>
      <c r="X24" s="92"/>
      <c r="Y24" s="92"/>
      <c r="Z24" s="92"/>
    </row>
    <row r="26" spans="1:16383" s="205" customFormat="1" x14ac:dyDescent="0.25">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7.4751147145812491E-2</v>
      </c>
      <c r="N26" s="205">
        <f xml:space="preserve"> InpR!N$94</f>
        <v>7.4751147145812491E-2</v>
      </c>
      <c r="O26" s="205">
        <f xml:space="preserve"> InpR!O$94</f>
        <v>7.4751147145812491E-2</v>
      </c>
      <c r="P26" s="205">
        <f xml:space="preserve"> InpR!P$94</f>
        <v>7.4751147145812491E-2</v>
      </c>
      <c r="Q26" s="205">
        <f xml:space="preserve"> InpR!Q$94</f>
        <v>7.4751147145812491E-2</v>
      </c>
      <c r="R26" s="205">
        <f xml:space="preserve"> InpR!R$94</f>
        <v>7.4751147145812491E-2</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66.006</v>
      </c>
      <c r="N27" s="241">
        <f t="shared" si="6"/>
        <v>62.552025543091069</v>
      </c>
      <c r="O27" s="241">
        <f t="shared" si="6"/>
        <v>59.588433890295988</v>
      </c>
      <c r="P27" s="241">
        <f t="shared" si="6"/>
        <v>56.871122011299356</v>
      </c>
      <c r="Q27" s="241">
        <f t="shared" si="6"/>
        <v>54.303863095619775</v>
      </c>
      <c r="R27" s="241">
        <f t="shared" si="6"/>
        <v>51.852320293828335</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1.5996234494449197</v>
      </c>
      <c r="N28" s="184">
        <f t="shared" si="7"/>
        <v>1.850576747610376</v>
      </c>
      <c r="O28" s="184">
        <f t="shared" si="7"/>
        <v>1.8773240361954147</v>
      </c>
      <c r="P28" s="184">
        <f t="shared" si="7"/>
        <v>1.819967340613271</v>
      </c>
      <c r="Q28" s="184">
        <f t="shared" si="7"/>
        <v>1.7376225370026579</v>
      </c>
      <c r="R28" s="184">
        <f t="shared" si="7"/>
        <v>1.5556331455386536</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f t="shared" si="8"/>
        <v>5.0535979063538488</v>
      </c>
      <c r="N29" s="184">
        <f t="shared" si="8"/>
        <v>4.8141684004054648</v>
      </c>
      <c r="O29" s="184">
        <f t="shared" si="8"/>
        <v>4.5946359151920495</v>
      </c>
      <c r="P29" s="184">
        <f t="shared" si="8"/>
        <v>4.3872262562928492</v>
      </c>
      <c r="Q29" s="184">
        <f t="shared" si="8"/>
        <v>4.1891653387940959</v>
      </c>
      <c r="R29" s="184">
        <f t="shared" si="8"/>
        <v>3.9923057863028242</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InpR!$E$87</f>
        <v>RCV - CPI(H) + RPI wedge initial balance - nominal - WR</v>
      </c>
      <c r="F31" s="250">
        <f>InpR!$F$87</f>
        <v>66.006</v>
      </c>
      <c r="G31" s="200" t="str">
        <f>InpR!$G$87</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f t="shared" si="9"/>
        <v>66.006</v>
      </c>
      <c r="N34" s="242">
        <f t="shared" si="9"/>
        <v>62.552025543091069</v>
      </c>
      <c r="O34" s="242">
        <f t="shared" si="9"/>
        <v>59.588433890295988</v>
      </c>
      <c r="P34" s="242">
        <f t="shared" si="9"/>
        <v>56.871122011299356</v>
      </c>
      <c r="Q34" s="242">
        <f t="shared" si="9"/>
        <v>54.303863095619775</v>
      </c>
      <c r="R34" s="242">
        <f t="shared" si="9"/>
        <v>51.852320293828335</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1.5996234494449197</v>
      </c>
      <c r="N35" s="242">
        <f t="shared" si="10"/>
        <v>1.850576747610376</v>
      </c>
      <c r="O35" s="242">
        <f t="shared" si="10"/>
        <v>1.8773240361954147</v>
      </c>
      <c r="P35" s="242">
        <f t="shared" si="10"/>
        <v>1.819967340613271</v>
      </c>
      <c r="Q35" s="242">
        <f t="shared" si="10"/>
        <v>1.7376225370026579</v>
      </c>
      <c r="R35" s="242">
        <f t="shared" si="10"/>
        <v>1.5556331455386536</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5.0535979063538488</v>
      </c>
      <c r="N36" s="242">
        <f t="shared" si="11"/>
        <v>4.8141684004054648</v>
      </c>
      <c r="O36" s="242">
        <f t="shared" si="11"/>
        <v>4.5946359151920495</v>
      </c>
      <c r="P36" s="242">
        <f t="shared" si="11"/>
        <v>4.3872262562928492</v>
      </c>
      <c r="Q36" s="242">
        <f t="shared" si="11"/>
        <v>4.1891653387940959</v>
      </c>
      <c r="R36" s="242">
        <f t="shared" si="11"/>
        <v>3.9923057863028242</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f t="shared" si="12"/>
        <v>66.006</v>
      </c>
      <c r="M37" s="243">
        <f t="shared" si="12"/>
        <v>62.552025543091069</v>
      </c>
      <c r="N37" s="243">
        <f t="shared" si="12"/>
        <v>59.588433890295988</v>
      </c>
      <c r="O37" s="243">
        <f t="shared" si="12"/>
        <v>56.871122011299356</v>
      </c>
      <c r="P37" s="243">
        <f t="shared" si="12"/>
        <v>54.303863095619775</v>
      </c>
      <c r="Q37" s="243">
        <f t="shared" si="12"/>
        <v>51.852320293828335</v>
      </c>
      <c r="R37" s="243">
        <f t="shared" si="12"/>
        <v>49.41564765306417</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66.006</v>
      </c>
      <c r="N39" s="185">
        <f t="shared" si="13"/>
        <v>62.552025543091069</v>
      </c>
      <c r="O39" s="185">
        <f t="shared" si="13"/>
        <v>59.588433890295988</v>
      </c>
      <c r="P39" s="185">
        <f t="shared" si="13"/>
        <v>56.871122011299356</v>
      </c>
      <c r="Q39" s="185">
        <f t="shared" si="13"/>
        <v>54.303863095619775</v>
      </c>
      <c r="R39" s="185">
        <f t="shared" si="13"/>
        <v>51.852320293828335</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1.5996234494449197</v>
      </c>
      <c r="N40" s="242">
        <f t="shared" si="14"/>
        <v>1.850576747610376</v>
      </c>
      <c r="O40" s="242">
        <f t="shared" si="14"/>
        <v>1.8773240361954147</v>
      </c>
      <c r="P40" s="242">
        <f t="shared" si="14"/>
        <v>1.819967340613271</v>
      </c>
      <c r="Q40" s="242">
        <f t="shared" si="14"/>
        <v>1.7376225370026579</v>
      </c>
      <c r="R40" s="242">
        <f t="shared" si="14"/>
        <v>1.5556331455386536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66.006</v>
      </c>
      <c r="M41" s="185">
        <f t="shared" si="15"/>
        <v>62.552025543091069</v>
      </c>
      <c r="N41" s="185">
        <f t="shared" si="15"/>
        <v>59.588433890295988</v>
      </c>
      <c r="O41" s="185">
        <f t="shared" si="15"/>
        <v>56.871122011299356</v>
      </c>
      <c r="P41" s="185">
        <f t="shared" si="15"/>
        <v>54.303863095619775</v>
      </c>
      <c r="Q41" s="185">
        <f t="shared" si="15"/>
        <v>51.852320293828335</v>
      </c>
      <c r="R41" s="185">
        <f t="shared" si="15"/>
        <v>49.41564765306417</v>
      </c>
    </row>
    <row r="42" spans="1:26" s="92" customFormat="1" x14ac:dyDescent="0.25">
      <c r="A42" s="164"/>
      <c r="B42" s="165"/>
      <c r="C42" s="166"/>
      <c r="D42" s="167"/>
      <c r="E42" s="92" t="s">
        <v>357</v>
      </c>
      <c r="G42" s="92" t="s">
        <v>235</v>
      </c>
      <c r="J42" s="185">
        <f t="shared" ref="J42:L42" si="16" xml:space="preserve"> ( (J39+J40) + J41) / 2</f>
        <v>0</v>
      </c>
      <c r="K42" s="185">
        <f t="shared" si="16"/>
        <v>0</v>
      </c>
      <c r="L42" s="185">
        <f t="shared" si="16"/>
        <v>33.003</v>
      </c>
      <c r="M42" s="185">
        <f xml:space="preserve"> ( (M39+M40) + M41) / 2</f>
        <v>65.078824496267998</v>
      </c>
      <c r="N42" s="185">
        <f t="shared" ref="N42:R42" si="17" xml:space="preserve"> ( (N39+N40) + N41) / 2</f>
        <v>61.99551809049872</v>
      </c>
      <c r="O42" s="185">
        <f t="shared" si="17"/>
        <v>59.168439968895385</v>
      </c>
      <c r="P42" s="185">
        <f t="shared" si="17"/>
        <v>56.497476223766199</v>
      </c>
      <c r="Q42" s="185">
        <f t="shared" si="17"/>
        <v>53.946902963225384</v>
      </c>
      <c r="R42" s="185">
        <f t="shared" si="17"/>
        <v>51.411800546215581</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1.9199999999999998E-2</v>
      </c>
      <c r="N45" s="205">
        <f xml:space="preserve"> InpR!N$101</f>
        <v>1.9199999999999998E-2</v>
      </c>
      <c r="O45" s="205">
        <f xml:space="preserve"> InpR!O$101</f>
        <v>1.9199999999999998E-2</v>
      </c>
      <c r="P45" s="205">
        <f xml:space="preserve"> InpR!P$101</f>
        <v>1.9199999999999998E-2</v>
      </c>
      <c r="Q45" s="205">
        <f xml:space="preserve"> InpR!Q$101</f>
        <v>1.9199999999999998E-2</v>
      </c>
      <c r="R45" s="205">
        <f xml:space="preserve"> InpR!R$101</f>
        <v>1.9199999999999998E-2</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33.003</v>
      </c>
      <c r="M47" s="184">
        <f t="shared" si="18"/>
        <v>65.078824496267998</v>
      </c>
      <c r="N47" s="184">
        <f t="shared" si="18"/>
        <v>61.99551809049872</v>
      </c>
      <c r="O47" s="184">
        <f t="shared" si="18"/>
        <v>59.168439968895385</v>
      </c>
      <c r="P47" s="184">
        <f t="shared" si="18"/>
        <v>56.497476223766199</v>
      </c>
      <c r="Q47" s="184">
        <f t="shared" si="18"/>
        <v>53.946902963225384</v>
      </c>
      <c r="R47" s="184">
        <f t="shared" si="18"/>
        <v>51.411800546215581</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f>L45*L47*L46</f>
        <v>0</v>
      </c>
      <c r="M48" s="184">
        <f>M45*M47*M46</f>
        <v>1.2495134303283455</v>
      </c>
      <c r="N48" s="184">
        <f t="shared" ref="N48:R48" si="20">N45*N47*N46</f>
        <v>1.1903139473375752</v>
      </c>
      <c r="O48" s="184">
        <f t="shared" si="20"/>
        <v>1.1360340474027912</v>
      </c>
      <c r="P48" s="184">
        <f t="shared" si="20"/>
        <v>1.0847515434963109</v>
      </c>
      <c r="Q48" s="184">
        <f t="shared" si="20"/>
        <v>1.0357805368939272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5.0535979063538488</v>
      </c>
      <c r="N51" s="184">
        <f t="shared" si="21"/>
        <v>4.8141684004054648</v>
      </c>
      <c r="O51" s="184">
        <f t="shared" si="21"/>
        <v>4.5946359151920495</v>
      </c>
      <c r="P51" s="184">
        <f t="shared" si="21"/>
        <v>4.3872262562928492</v>
      </c>
      <c r="Q51" s="184">
        <f t="shared" si="21"/>
        <v>4.1891653387940959</v>
      </c>
      <c r="R51" s="184">
        <f t="shared" si="21"/>
        <v>3.9923057863028242</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1.2495134303283455</v>
      </c>
      <c r="N52" s="184">
        <f t="shared" si="22"/>
        <v>1.1903139473375752</v>
      </c>
      <c r="O52" s="184">
        <f t="shared" si="22"/>
        <v>1.1360340474027912</v>
      </c>
      <c r="P52" s="184">
        <f t="shared" si="22"/>
        <v>1.0847515434963109</v>
      </c>
      <c r="Q52" s="184">
        <f t="shared" si="22"/>
        <v>1.0357805368939272</v>
      </c>
      <c r="R52" s="184">
        <f t="shared" si="22"/>
        <v>0</v>
      </c>
      <c r="S52" s="92"/>
      <c r="T52" s="92"/>
      <c r="U52" s="92"/>
      <c r="V52" s="92"/>
      <c r="W52" s="92"/>
      <c r="X52" s="92"/>
      <c r="Y52" s="92"/>
      <c r="Z52" s="92"/>
    </row>
    <row r="53" spans="1:26" s="91" customFormat="1" x14ac:dyDescent="0.25">
      <c r="A53" s="170"/>
      <c r="B53" s="165"/>
      <c r="C53" s="166"/>
      <c r="D53" s="171"/>
      <c r="E53" s="172" t="s">
        <v>361</v>
      </c>
      <c r="G53" s="91" t="str">
        <f xml:space="preserve"> G$48</f>
        <v>£m</v>
      </c>
      <c r="H53" s="184">
        <f>SUM(J53:R53)</f>
        <v>32.727493108800083</v>
      </c>
      <c r="I53" s="184"/>
      <c r="J53" s="184">
        <f t="shared" ref="J53:R53" si="23">SUM(J51:J52)</f>
        <v>0</v>
      </c>
      <c r="K53" s="184">
        <f t="shared" si="23"/>
        <v>0</v>
      </c>
      <c r="L53" s="184">
        <f>SUM(L51:L52)</f>
        <v>0</v>
      </c>
      <c r="M53" s="185">
        <f t="shared" si="23"/>
        <v>6.3031113366821945</v>
      </c>
      <c r="N53" s="185">
        <f t="shared" si="23"/>
        <v>6.00448234774304</v>
      </c>
      <c r="O53" s="184">
        <f t="shared" si="23"/>
        <v>5.730669962594841</v>
      </c>
      <c r="P53" s="184">
        <f t="shared" si="23"/>
        <v>5.4719777997891601</v>
      </c>
      <c r="Q53" s="184">
        <f t="shared" si="23"/>
        <v>5.2249458756880234</v>
      </c>
      <c r="R53" s="184">
        <f t="shared" si="23"/>
        <v>3.9923057863028242</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f t="shared" si="24"/>
        <v>0</v>
      </c>
      <c r="M61" s="184">
        <f t="shared" si="24"/>
        <v>6.3031113366821945</v>
      </c>
      <c r="N61" s="184">
        <f t="shared" si="24"/>
        <v>6.00448234774304</v>
      </c>
      <c r="O61" s="184">
        <f t="shared" si="24"/>
        <v>5.730669962594841</v>
      </c>
      <c r="P61" s="184">
        <f t="shared" si="24"/>
        <v>5.4719777997891601</v>
      </c>
      <c r="Q61" s="184">
        <f t="shared" si="24"/>
        <v>5.2249458756880234</v>
      </c>
      <c r="R61" s="184">
        <f t="shared" si="24"/>
        <v>3.9923057863028242</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3.5095772489963428E-2</v>
      </c>
      <c r="Q69" s="205">
        <f>Index!Q$135</f>
        <v>1.0811774265832685E-2</v>
      </c>
      <c r="R69" s="205">
        <f>Index!R$135</f>
        <v>3.0969307070667251E-2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5.6068271839316841E-2</v>
      </c>
      <c r="Q70" s="172">
        <f t="shared" si="26"/>
        <v>3.1820802412407367E-2</v>
      </c>
      <c r="R70" s="172">
        <f t="shared" si="26"/>
        <v>5.0963481504755381E-2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66.006</v>
      </c>
      <c r="N73" s="241">
        <f t="shared" si="27"/>
        <v>62.324257004392145</v>
      </c>
      <c r="O73" s="241">
        <f t="shared" si="27"/>
        <v>60.034245703361364</v>
      </c>
      <c r="P73" s="241">
        <f t="shared" si="27"/>
        <v>58.977822909684072</v>
      </c>
      <c r="Q73" s="241">
        <f t="shared" si="27"/>
        <v>57.628761655647253</v>
      </c>
      <c r="R73" s="241">
        <f t="shared" si="27"/>
        <v>55.017660888098391</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5.6068271839316841E-2</v>
      </c>
      <c r="Q74" s="172">
        <f t="shared" si="28"/>
        <v>3.1820802412407367E-2</v>
      </c>
      <c r="R74" s="172">
        <f t="shared" si="28"/>
        <v>5.0963481504755381E-2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f>M73*M74</f>
        <v>1.3534534185431726</v>
      </c>
      <c r="N75" s="184">
        <f t="shared" ref="N75:R75" si="30">N73*N74</f>
        <v>2.5601743766023173</v>
      </c>
      <c r="O75" s="184">
        <f t="shared" si="30"/>
        <v>3.7084141526877086</v>
      </c>
      <c r="P75" s="184">
        <f t="shared" si="30"/>
        <v>3.306784607391255</v>
      </c>
      <c r="Q75" s="184">
        <f t="shared" si="30"/>
        <v>1.8337934379160692</v>
      </c>
      <c r="R75" s="184">
        <f t="shared" si="30"/>
        <v>2.803891543105506</v>
      </c>
    </row>
    <row r="77" spans="1:16383" s="205" customFormat="1" x14ac:dyDescent="0.25">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7.4751147145812491E-2</v>
      </c>
      <c r="N77" s="205">
        <f xml:space="preserve"> InpR!N$94</f>
        <v>7.4751147145812491E-2</v>
      </c>
      <c r="O77" s="205">
        <f xml:space="preserve"> InpR!O$94</f>
        <v>7.4751147145812491E-2</v>
      </c>
      <c r="P77" s="205">
        <f xml:space="preserve"> InpR!P$94</f>
        <v>7.4751147145812491E-2</v>
      </c>
      <c r="Q77" s="205">
        <f xml:space="preserve"> InpR!Q$94</f>
        <v>7.4751147145812491E-2</v>
      </c>
      <c r="R77" s="205">
        <f xml:space="preserve"> InpR!R$94</f>
        <v>7.4751147145812491E-2</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66.006</v>
      </c>
      <c r="N78" s="241">
        <f t="shared" si="31"/>
        <v>62.324257004392145</v>
      </c>
      <c r="O78" s="241">
        <f t="shared" si="31"/>
        <v>60.034245703361364</v>
      </c>
      <c r="P78" s="241">
        <f t="shared" si="31"/>
        <v>58.977822909684072</v>
      </c>
      <c r="Q78" s="241">
        <f t="shared" si="31"/>
        <v>57.628761655647253</v>
      </c>
      <c r="R78" s="241">
        <f t="shared" si="31"/>
        <v>55.017660888098391</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1.3534534185431726</v>
      </c>
      <c r="N79" s="184">
        <f t="shared" si="32"/>
        <v>2.5601743766023173</v>
      </c>
      <c r="O79" s="184">
        <f t="shared" si="32"/>
        <v>3.7084141526877086</v>
      </c>
      <c r="P79" s="184">
        <f t="shared" si="32"/>
        <v>3.306784607391255</v>
      </c>
      <c r="Q79" s="184">
        <f t="shared" si="32"/>
        <v>1.8337934379160692</v>
      </c>
      <c r="R79" s="184">
        <f t="shared" si="32"/>
        <v>2.803891543105506</v>
      </c>
    </row>
    <row r="80" spans="1:16383" x14ac:dyDescent="0.25">
      <c r="E80" s="7" t="s">
        <v>373</v>
      </c>
      <c r="F80" s="244"/>
      <c r="G80" s="244" t="s">
        <v>235</v>
      </c>
      <c r="H80" s="244"/>
      <c r="I80" s="244"/>
      <c r="J80" s="184">
        <f t="shared" ref="J80:R80" si="33" xml:space="preserve"> (J78+J79) * J77</f>
        <v>0</v>
      </c>
      <c r="K80" s="184">
        <f t="shared" si="33"/>
        <v>0</v>
      </c>
      <c r="L80" s="184">
        <f t="shared" si="33"/>
        <v>0</v>
      </c>
      <c r="M80" s="184">
        <f t="shared" si="33"/>
        <v>5.0351964141510228</v>
      </c>
      <c r="N80" s="184">
        <f xml:space="preserve"> (N78+N79) * N77</f>
        <v>4.8501856776330898</v>
      </c>
      <c r="O80" s="184">
        <f t="shared" si="33"/>
        <v>4.7648369463649995</v>
      </c>
      <c r="P80" s="184">
        <f t="shared" si="33"/>
        <v>4.6558458614280767</v>
      </c>
      <c r="Q80" s="184">
        <f t="shared" si="33"/>
        <v>4.4448942054649345</v>
      </c>
      <c r="R80" s="184">
        <f t="shared" si="33"/>
        <v>4.3222273739842345</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InpR!$E$87</f>
        <v>RCV - CPI(H) + RPI wedge initial balance - nominal - WR</v>
      </c>
      <c r="F82" s="250">
        <f>InpR!$F$87</f>
        <v>66.006</v>
      </c>
      <c r="G82" s="200" t="str">
        <f>InpR!$G$87</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f t="shared" si="34"/>
        <v>66.006</v>
      </c>
      <c r="N85" s="242">
        <f t="shared" si="34"/>
        <v>62.324257004392145</v>
      </c>
      <c r="O85" s="242">
        <f t="shared" si="34"/>
        <v>60.034245703361364</v>
      </c>
      <c r="P85" s="242">
        <f t="shared" si="34"/>
        <v>58.977822909684072</v>
      </c>
      <c r="Q85" s="242">
        <f t="shared" si="34"/>
        <v>57.628761655647253</v>
      </c>
      <c r="R85" s="242">
        <f t="shared" si="34"/>
        <v>55.017660888098391</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1.3534534185431726</v>
      </c>
      <c r="N86" s="242">
        <f t="shared" si="35"/>
        <v>2.5601743766023173</v>
      </c>
      <c r="O86" s="242">
        <f t="shared" si="35"/>
        <v>3.7084141526877086</v>
      </c>
      <c r="P86" s="242">
        <f t="shared" si="35"/>
        <v>3.306784607391255</v>
      </c>
      <c r="Q86" s="242">
        <f t="shared" si="35"/>
        <v>1.8337934379160692</v>
      </c>
      <c r="R86" s="242">
        <f t="shared" si="35"/>
        <v>2.803891543105506</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5.0351964141510228</v>
      </c>
      <c r="N87" s="242">
        <f t="shared" si="36"/>
        <v>4.8501856776330898</v>
      </c>
      <c r="O87" s="242">
        <f t="shared" si="36"/>
        <v>4.7648369463649995</v>
      </c>
      <c r="P87" s="242">
        <f t="shared" si="36"/>
        <v>4.6558458614280767</v>
      </c>
      <c r="Q87" s="242">
        <f t="shared" si="36"/>
        <v>4.4448942054649345</v>
      </c>
      <c r="R87" s="242">
        <f t="shared" si="36"/>
        <v>4.3222273739842345</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f t="shared" si="37"/>
        <v>66.006</v>
      </c>
      <c r="M88" s="243">
        <f t="shared" si="37"/>
        <v>62.324257004392145</v>
      </c>
      <c r="N88" s="243">
        <f t="shared" si="37"/>
        <v>60.034245703361364</v>
      </c>
      <c r="O88" s="243">
        <f t="shared" si="37"/>
        <v>58.977822909684072</v>
      </c>
      <c r="P88" s="243">
        <f t="shared" si="37"/>
        <v>57.628761655647253</v>
      </c>
      <c r="Q88" s="243">
        <f t="shared" si="37"/>
        <v>55.017660888098391</v>
      </c>
      <c r="R88" s="243">
        <f t="shared" si="37"/>
        <v>53.499325057219664</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66.006</v>
      </c>
      <c r="N90" s="185">
        <f t="shared" si="38"/>
        <v>62.324257004392145</v>
      </c>
      <c r="O90" s="185">
        <f t="shared" si="38"/>
        <v>60.034245703361364</v>
      </c>
      <c r="P90" s="185">
        <f t="shared" si="38"/>
        <v>58.977822909684072</v>
      </c>
      <c r="Q90" s="185">
        <f t="shared" si="38"/>
        <v>57.628761655647253</v>
      </c>
      <c r="R90" s="185">
        <f t="shared" si="38"/>
        <v>55.017660888098391</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1.3534534185431726</v>
      </c>
      <c r="N91" s="242">
        <f t="shared" si="39"/>
        <v>2.5601743766023173</v>
      </c>
      <c r="O91" s="242">
        <f t="shared" si="39"/>
        <v>3.7084141526877086</v>
      </c>
      <c r="P91" s="242">
        <f t="shared" si="39"/>
        <v>3.306784607391255</v>
      </c>
      <c r="Q91" s="242">
        <f t="shared" si="39"/>
        <v>1.8337934379160692</v>
      </c>
      <c r="R91" s="242">
        <f t="shared" si="39"/>
        <v>2.803891543105506</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66.006</v>
      </c>
      <c r="M92" s="185">
        <f t="shared" si="40"/>
        <v>62.324257004392145</v>
      </c>
      <c r="N92" s="185">
        <f t="shared" si="40"/>
        <v>60.034245703361364</v>
      </c>
      <c r="O92" s="185">
        <f t="shared" si="40"/>
        <v>58.977822909684072</v>
      </c>
      <c r="P92" s="185">
        <f t="shared" si="40"/>
        <v>57.628761655647253</v>
      </c>
      <c r="Q92" s="185">
        <f t="shared" si="40"/>
        <v>55.017660888098391</v>
      </c>
      <c r="R92" s="185">
        <f t="shared" si="40"/>
        <v>53.499325057219664</v>
      </c>
    </row>
    <row r="93" spans="1:18" x14ac:dyDescent="0.25">
      <c r="A93" s="49"/>
      <c r="D93" s="57"/>
      <c r="E93" s="7" t="s">
        <v>376</v>
      </c>
      <c r="G93" s="92" t="s">
        <v>235</v>
      </c>
      <c r="H93" s="244"/>
      <c r="I93" s="244"/>
      <c r="J93" s="185">
        <f t="shared" ref="J93:K93" si="41" xml:space="preserve"> ( (J90+J91) + J92) / 2</f>
        <v>0</v>
      </c>
      <c r="K93" s="185">
        <f t="shared" si="41"/>
        <v>0</v>
      </c>
      <c r="L93" s="185">
        <f xml:space="preserve"> ( (L90+L91) + L92) / 2</f>
        <v>33.003</v>
      </c>
      <c r="M93" s="185">
        <f xml:space="preserve"> ( (M90+M91) + M92) / 2</f>
        <v>64.84185521146766</v>
      </c>
      <c r="N93" s="185">
        <f t="shared" ref="N93:P93" si="42" xml:space="preserve"> ( (N90+N91) + N92) / 2</f>
        <v>62.45933854217791</v>
      </c>
      <c r="O93" s="185">
        <f t="shared" si="42"/>
        <v>61.360241382866576</v>
      </c>
      <c r="P93" s="185">
        <f t="shared" si="42"/>
        <v>59.956684586361291</v>
      </c>
      <c r="Q93" s="185">
        <f xml:space="preserve"> ( (Q90+Q91) + Q92) / 2</f>
        <v>57.240107990830857</v>
      </c>
      <c r="R93" s="185">
        <f t="shared" ref="R93" si="43" xml:space="preserve"> ( (R90+R91) + R92) / 2</f>
        <v>55.660438744211781</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1.9199999999999998E-2</v>
      </c>
      <c r="N96" s="205">
        <f xml:space="preserve"> InpR!N$101</f>
        <v>1.9199999999999998E-2</v>
      </c>
      <c r="O96" s="205">
        <f xml:space="preserve"> InpR!O$101</f>
        <v>1.9199999999999998E-2</v>
      </c>
      <c r="P96" s="205">
        <f xml:space="preserve"> InpR!P$101</f>
        <v>1.9199999999999998E-2</v>
      </c>
      <c r="Q96" s="205">
        <f xml:space="preserve"> InpR!Q$101</f>
        <v>1.9199999999999998E-2</v>
      </c>
      <c r="R96" s="205">
        <f xml:space="preserve"> InpR!R$101</f>
        <v>1.9199999999999998E-2</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33.003</v>
      </c>
      <c r="M98" s="184">
        <f t="shared" si="44"/>
        <v>64.84185521146766</v>
      </c>
      <c r="N98" s="184">
        <f t="shared" si="44"/>
        <v>62.45933854217791</v>
      </c>
      <c r="O98" s="184">
        <f t="shared" si="44"/>
        <v>61.360241382866576</v>
      </c>
      <c r="P98" s="184">
        <f t="shared" si="44"/>
        <v>59.956684586361291</v>
      </c>
      <c r="Q98" s="184">
        <f t="shared" si="44"/>
        <v>57.240107990830857</v>
      </c>
      <c r="R98" s="184">
        <f t="shared" si="44"/>
        <v>55.660438744211781</v>
      </c>
    </row>
    <row r="99" spans="1:26" x14ac:dyDescent="0.25">
      <c r="E99" s="7" t="s">
        <v>378</v>
      </c>
      <c r="F99" s="244"/>
      <c r="G99" s="184" t="s">
        <v>235</v>
      </c>
      <c r="H99" s="244"/>
      <c r="I99" s="244"/>
      <c r="J99" s="244">
        <f t="shared" ref="J99:K99" si="45">J96*J97*J98</f>
        <v>0</v>
      </c>
      <c r="K99" s="244">
        <f t="shared" si="45"/>
        <v>0</v>
      </c>
      <c r="L99" s="244">
        <f>L96*L97*L98</f>
        <v>0</v>
      </c>
      <c r="M99" s="244">
        <f>M96*M97*M98</f>
        <v>1.244963620060179</v>
      </c>
      <c r="N99" s="244">
        <f t="shared" ref="N99:R99" si="46">N96*N97*N98</f>
        <v>1.1992193000098157</v>
      </c>
      <c r="O99" s="244">
        <f t="shared" si="46"/>
        <v>1.1781166345510381</v>
      </c>
      <c r="P99" s="244">
        <f t="shared" si="46"/>
        <v>1.1511683440581366</v>
      </c>
      <c r="Q99" s="244">
        <f t="shared" si="46"/>
        <v>1.0990100734239523</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66.006</v>
      </c>
      <c r="M102" s="185">
        <f t="shared" si="47"/>
        <v>62.324257004392145</v>
      </c>
      <c r="N102" s="185">
        <f t="shared" si="47"/>
        <v>60.034245703361364</v>
      </c>
      <c r="O102" s="185">
        <f t="shared" si="47"/>
        <v>58.977822909684072</v>
      </c>
      <c r="P102" s="185">
        <f t="shared" si="47"/>
        <v>57.628761655647253</v>
      </c>
      <c r="Q102" s="185">
        <f t="shared" si="47"/>
        <v>55.017660888098391</v>
      </c>
      <c r="R102" s="185">
        <f t="shared" si="47"/>
        <v>53.499325057219664</v>
      </c>
    </row>
    <row r="103" spans="1:26" x14ac:dyDescent="0.25">
      <c r="C103" s="278"/>
      <c r="E103" s="7" t="s">
        <v>379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55.017660888098391</v>
      </c>
      <c r="R103" s="184">
        <f t="shared" si="48"/>
        <v>0</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5.0351964141510228</v>
      </c>
      <c r="N106" s="184">
        <f t="shared" si="49"/>
        <v>4.8501856776330898</v>
      </c>
      <c r="O106" s="184">
        <f t="shared" si="49"/>
        <v>4.7648369463649995</v>
      </c>
      <c r="P106" s="184">
        <f t="shared" si="49"/>
        <v>4.6558458614280767</v>
      </c>
      <c r="Q106" s="184">
        <f t="shared" si="49"/>
        <v>4.4448942054649345</v>
      </c>
      <c r="R106" s="184">
        <f t="shared" si="49"/>
        <v>4.3222273739842345</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1.244963620060179</v>
      </c>
      <c r="N107" s="184">
        <f t="shared" si="50"/>
        <v>1.1992193000098157</v>
      </c>
      <c r="O107" s="184">
        <f t="shared" si="50"/>
        <v>1.1781166345510381</v>
      </c>
      <c r="P107" s="184">
        <f t="shared" si="50"/>
        <v>1.1511683440581366</v>
      </c>
      <c r="Q107" s="184">
        <f t="shared" si="50"/>
        <v>1.0990100734239523</v>
      </c>
      <c r="R107" s="184">
        <f t="shared" si="50"/>
        <v>0</v>
      </c>
      <c r="S107" s="92"/>
      <c r="T107" s="92"/>
      <c r="U107" s="92"/>
      <c r="V107" s="92"/>
      <c r="W107" s="92"/>
      <c r="X107" s="92"/>
      <c r="Y107" s="92"/>
      <c r="Z107" s="92"/>
    </row>
    <row r="108" spans="1:26" x14ac:dyDescent="0.25">
      <c r="E108" s="7" t="s">
        <v>381</v>
      </c>
      <c r="F108" s="244"/>
      <c r="G108" s="184" t="str">
        <f t="shared" si="50"/>
        <v>£m</v>
      </c>
      <c r="H108" s="244">
        <f>SUM(J108:R108)</f>
        <v>33.945664451129481</v>
      </c>
      <c r="I108" s="244"/>
      <c r="J108" s="244">
        <f t="shared" ref="J108:R108" si="51">SUM(J106:J107)</f>
        <v>0</v>
      </c>
      <c r="K108" s="244">
        <f t="shared" si="51"/>
        <v>0</v>
      </c>
      <c r="L108" s="244">
        <f t="shared" si="51"/>
        <v>0</v>
      </c>
      <c r="M108" s="244">
        <f t="shared" si="51"/>
        <v>6.2801600342112014</v>
      </c>
      <c r="N108" s="244">
        <f t="shared" si="51"/>
        <v>6.0494049776429053</v>
      </c>
      <c r="O108" s="244">
        <f t="shared" si="51"/>
        <v>5.9429535809160381</v>
      </c>
      <c r="P108" s="244">
        <f t="shared" si="51"/>
        <v>5.8070142054862135</v>
      </c>
      <c r="Q108" s="244">
        <f t="shared" si="51"/>
        <v>5.5439042788888866</v>
      </c>
      <c r="R108" s="244">
        <f t="shared" si="51"/>
        <v>4.3222273739842345</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6.3031113366821945</v>
      </c>
      <c r="N114" s="184">
        <f t="shared" si="52"/>
        <v>6.00448234774304</v>
      </c>
      <c r="O114" s="184">
        <f t="shared" si="52"/>
        <v>5.730669962594841</v>
      </c>
      <c r="P114" s="184">
        <f t="shared" si="52"/>
        <v>5.4719777997891601</v>
      </c>
      <c r="Q114" s="184">
        <f t="shared" si="52"/>
        <v>5.2249458756880234</v>
      </c>
      <c r="R114" s="184">
        <f xml:space="preserve"> R$61</f>
        <v>3.9923057863028242</v>
      </c>
    </row>
    <row r="115" spans="1:26" x14ac:dyDescent="0.25">
      <c r="E115" s="7" t="str">
        <f t="shared" ref="E115:R115" si="53" xml:space="preserve"> E$108</f>
        <v>Total nominal revenue company should have received</v>
      </c>
      <c r="F115" s="184">
        <f t="shared" si="53"/>
        <v>0</v>
      </c>
      <c r="G115" s="184" t="str">
        <f t="shared" si="53"/>
        <v>£m</v>
      </c>
      <c r="H115" s="184">
        <f t="shared" si="53"/>
        <v>33.945664451129481</v>
      </c>
      <c r="I115" s="184">
        <f t="shared" si="53"/>
        <v>0</v>
      </c>
      <c r="J115" s="184">
        <f t="shared" si="53"/>
        <v>0</v>
      </c>
      <c r="K115" s="184">
        <f t="shared" si="53"/>
        <v>0</v>
      </c>
      <c r="L115" s="184">
        <f t="shared" si="53"/>
        <v>0</v>
      </c>
      <c r="M115" s="184">
        <f t="shared" si="53"/>
        <v>6.2801600342112014</v>
      </c>
      <c r="N115" s="184">
        <f t="shared" si="53"/>
        <v>6.0494049776429053</v>
      </c>
      <c r="O115" s="184">
        <f t="shared" si="53"/>
        <v>5.9429535809160381</v>
      </c>
      <c r="P115" s="184">
        <f t="shared" si="53"/>
        <v>5.8070142054862135</v>
      </c>
      <c r="Q115" s="184">
        <f t="shared" si="53"/>
        <v>5.5439042788888866</v>
      </c>
      <c r="R115" s="184">
        <f t="shared" si="53"/>
        <v>4.3222273739842345</v>
      </c>
    </row>
    <row r="116" spans="1:26" s="184" customFormat="1" x14ac:dyDescent="0.25">
      <c r="A116" s="180"/>
      <c r="B116" s="181"/>
      <c r="C116" s="182"/>
      <c r="D116" s="183"/>
      <c r="E116" s="7" t="s">
        <v>384</v>
      </c>
      <c r="G116" s="184" t="str">
        <f t="shared" ref="G116" si="54" xml:space="preserve"> G$99</f>
        <v>£m</v>
      </c>
      <c r="H116" s="244">
        <f>SUM(J116:R116)</f>
        <v>0.88824975464798595</v>
      </c>
      <c r="M116" s="184">
        <f>M115-M114</f>
        <v>-2.2951302470993085E-2</v>
      </c>
      <c r="N116" s="184">
        <f t="shared" ref="N116:Q116" si="55">N115-N114</f>
        <v>4.4922629899865285E-2</v>
      </c>
      <c r="O116" s="184">
        <f t="shared" si="55"/>
        <v>0.21228361832119713</v>
      </c>
      <c r="P116" s="184">
        <f t="shared" si="55"/>
        <v>0.3350364056970534</v>
      </c>
      <c r="Q116" s="184">
        <f t="shared" si="55"/>
        <v>0.31895840320086322</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66.006</v>
      </c>
      <c r="N128" s="245">
        <f t="shared" si="58"/>
        <v>62.552025543091069</v>
      </c>
      <c r="O128" s="245">
        <f t="shared" si="58"/>
        <v>59.588433890295988</v>
      </c>
      <c r="P128" s="245">
        <f t="shared" si="58"/>
        <v>56.871122011299356</v>
      </c>
      <c r="Q128" s="245">
        <f t="shared" si="58"/>
        <v>54.303863095619775</v>
      </c>
      <c r="R128" s="245">
        <f t="shared" si="58"/>
        <v>51.852320293828335</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f>M128*M129</f>
        <v>1.5996234494449197</v>
      </c>
      <c r="N130" s="246">
        <f t="shared" ref="N130:R130" si="61">N128*N129</f>
        <v>1.850576747610376</v>
      </c>
      <c r="O130" s="246">
        <f t="shared" si="61"/>
        <v>1.8773240361954147</v>
      </c>
      <c r="P130" s="246">
        <f t="shared" si="61"/>
        <v>1.819967340613271</v>
      </c>
      <c r="Q130" s="246">
        <f t="shared" si="61"/>
        <v>1.7376225370026579</v>
      </c>
      <c r="R130" s="246">
        <f t="shared" si="61"/>
        <v>1.5556331455386536</v>
      </c>
    </row>
    <row r="132" spans="1:16383" s="205" customFormat="1" x14ac:dyDescent="0.25">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7.4751147145812491E-2</v>
      </c>
      <c r="N132" s="205">
        <f xml:space="preserve"> InpR!N$94</f>
        <v>7.4751147145812491E-2</v>
      </c>
      <c r="O132" s="205">
        <f xml:space="preserve"> InpR!O$94</f>
        <v>7.4751147145812491E-2</v>
      </c>
      <c r="P132" s="205">
        <f xml:space="preserve"> InpR!P$94</f>
        <v>7.4751147145812491E-2</v>
      </c>
      <c r="Q132" s="205">
        <f xml:space="preserve"> InpR!Q$94</f>
        <v>7.4751147145812491E-2</v>
      </c>
      <c r="R132" s="205">
        <f xml:space="preserve"> InpR!R$94</f>
        <v>7.4751147145812491E-2</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66.006</v>
      </c>
      <c r="N133" s="245">
        <f t="shared" si="62"/>
        <v>62.552025543091069</v>
      </c>
      <c r="O133" s="245">
        <f t="shared" si="62"/>
        <v>59.588433890295988</v>
      </c>
      <c r="P133" s="245">
        <f t="shared" si="62"/>
        <v>56.871122011299356</v>
      </c>
      <c r="Q133" s="245">
        <f t="shared" si="62"/>
        <v>54.303863095619775</v>
      </c>
      <c r="R133" s="245">
        <f t="shared" si="62"/>
        <v>51.852320293828335</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1.5996234494449197</v>
      </c>
      <c r="N134" s="246">
        <f t="shared" si="63"/>
        <v>1.850576747610376</v>
      </c>
      <c r="O134" s="246">
        <f t="shared" si="63"/>
        <v>1.8773240361954147</v>
      </c>
      <c r="P134" s="246">
        <f t="shared" si="63"/>
        <v>1.819967340613271</v>
      </c>
      <c r="Q134" s="246">
        <f t="shared" si="63"/>
        <v>1.7376225370026579</v>
      </c>
      <c r="R134" s="246">
        <f t="shared" si="63"/>
        <v>1.5556331455386536</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f xml:space="preserve"> (M133+M134) * M132</f>
        <v>5.0535979063538488</v>
      </c>
      <c r="N135" s="246">
        <f t="shared" si="64"/>
        <v>4.8141684004054648</v>
      </c>
      <c r="O135" s="246">
        <f t="shared" si="64"/>
        <v>4.5946359151920495</v>
      </c>
      <c r="P135" s="246">
        <f t="shared" si="64"/>
        <v>4.3872262562928492</v>
      </c>
      <c r="Q135" s="246">
        <f t="shared" si="64"/>
        <v>4.1891653387940959</v>
      </c>
      <c r="R135" s="246">
        <f t="shared" si="64"/>
        <v>3.9923057863028242</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InpR!$E$87</f>
        <v>RCV - CPI(H) + RPI wedge initial balance - nominal - WR</v>
      </c>
      <c r="F137" s="250">
        <f>InpR!$F$87</f>
        <v>66.006</v>
      </c>
      <c r="G137" s="200" t="str">
        <f>InpR!$G$87</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f t="shared" si="65"/>
        <v>66.006</v>
      </c>
      <c r="N140" s="242">
        <f t="shared" si="65"/>
        <v>62.552025543091069</v>
      </c>
      <c r="O140" s="242">
        <f t="shared" si="65"/>
        <v>59.588433890295988</v>
      </c>
      <c r="P140" s="242">
        <f t="shared" si="65"/>
        <v>56.871122011299356</v>
      </c>
      <c r="Q140" s="242">
        <f t="shared" si="65"/>
        <v>54.303863095619775</v>
      </c>
      <c r="R140" s="242">
        <f t="shared" si="65"/>
        <v>51.852320293828335</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1.5996234494449197</v>
      </c>
      <c r="N141" s="242">
        <f t="shared" si="66"/>
        <v>1.850576747610376</v>
      </c>
      <c r="O141" s="242">
        <f t="shared" si="66"/>
        <v>1.8773240361954147</v>
      </c>
      <c r="P141" s="242">
        <f t="shared" si="66"/>
        <v>1.819967340613271</v>
      </c>
      <c r="Q141" s="242">
        <f t="shared" si="66"/>
        <v>1.7376225370026579</v>
      </c>
      <c r="R141" s="242">
        <f t="shared" si="66"/>
        <v>1.5556331455386536</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5.0535979063538488</v>
      </c>
      <c r="N142" s="242">
        <f t="shared" si="67"/>
        <v>4.8141684004054648</v>
      </c>
      <c r="O142" s="242">
        <f t="shared" si="67"/>
        <v>4.5946359151920495</v>
      </c>
      <c r="P142" s="242">
        <f t="shared" si="67"/>
        <v>4.3872262562928492</v>
      </c>
      <c r="Q142" s="242">
        <f t="shared" si="67"/>
        <v>4.1891653387940959</v>
      </c>
      <c r="R142" s="242">
        <f t="shared" si="67"/>
        <v>3.9923057863028242</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f t="shared" si="68"/>
        <v>66.006</v>
      </c>
      <c r="M143" s="243">
        <f t="shared" si="68"/>
        <v>62.552025543091069</v>
      </c>
      <c r="N143" s="243">
        <f t="shared" si="68"/>
        <v>59.588433890295988</v>
      </c>
      <c r="O143" s="243">
        <f t="shared" si="68"/>
        <v>56.871122011299356</v>
      </c>
      <c r="P143" s="243">
        <f t="shared" si="68"/>
        <v>54.303863095619775</v>
      </c>
      <c r="Q143" s="243">
        <f t="shared" si="68"/>
        <v>51.852320293828335</v>
      </c>
      <c r="R143" s="243">
        <f t="shared" si="68"/>
        <v>49.41564765306417</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66.006</v>
      </c>
      <c r="N145" s="185">
        <f t="shared" si="69"/>
        <v>62.552025543091069</v>
      </c>
      <c r="O145" s="185">
        <f t="shared" si="69"/>
        <v>59.588433890295988</v>
      </c>
      <c r="P145" s="185">
        <f t="shared" si="69"/>
        <v>56.871122011299356</v>
      </c>
      <c r="Q145" s="185">
        <f t="shared" si="69"/>
        <v>54.303863095619775</v>
      </c>
      <c r="R145" s="185">
        <f t="shared" si="69"/>
        <v>51.852320293828335</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1.5996234494449197</v>
      </c>
      <c r="N146" s="184">
        <f t="shared" si="70"/>
        <v>1.850576747610376</v>
      </c>
      <c r="O146" s="184">
        <f t="shared" si="70"/>
        <v>1.8773240361954147</v>
      </c>
      <c r="P146" s="184">
        <f t="shared" si="70"/>
        <v>1.819967340613271</v>
      </c>
      <c r="Q146" s="184">
        <f t="shared" si="70"/>
        <v>1.7376225370026579</v>
      </c>
      <c r="R146" s="184">
        <f t="shared" si="70"/>
        <v>1.5556331455386536</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66.006</v>
      </c>
      <c r="M147" s="185">
        <f t="shared" si="71"/>
        <v>62.552025543091069</v>
      </c>
      <c r="N147" s="185">
        <f t="shared" si="71"/>
        <v>59.588433890295988</v>
      </c>
      <c r="O147" s="185">
        <f t="shared" si="71"/>
        <v>56.871122011299356</v>
      </c>
      <c r="P147" s="185">
        <f t="shared" si="71"/>
        <v>54.303863095619775</v>
      </c>
      <c r="Q147" s="185">
        <f t="shared" si="71"/>
        <v>51.852320293828335</v>
      </c>
      <c r="R147" s="185">
        <f t="shared" si="71"/>
        <v>49.41564765306417</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f t="shared" si="72"/>
        <v>33.003</v>
      </c>
      <c r="M148" s="185">
        <f xml:space="preserve"> ( (M145+M146) + M147) / 2</f>
        <v>65.078824496267998</v>
      </c>
      <c r="N148" s="185">
        <f t="shared" ref="N148:R148" si="73" xml:space="preserve"> ( (N145+N146) + N147) / 2</f>
        <v>61.99551809049872</v>
      </c>
      <c r="O148" s="185">
        <f t="shared" si="73"/>
        <v>59.168439968895385</v>
      </c>
      <c r="P148" s="185">
        <f t="shared" si="73"/>
        <v>56.497476223766199</v>
      </c>
      <c r="Q148" s="185">
        <f t="shared" si="73"/>
        <v>53.946902963225384</v>
      </c>
      <c r="R148" s="185">
        <f t="shared" si="73"/>
        <v>51.411800546215581</v>
      </c>
    </row>
    <row r="150" spans="1:26" s="205" customFormat="1" x14ac:dyDescent="0.25">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1.9199999999999998E-2</v>
      </c>
      <c r="N150" s="205">
        <f xml:space="preserve"> InpR!N$101</f>
        <v>1.9199999999999998E-2</v>
      </c>
      <c r="O150" s="205">
        <f xml:space="preserve"> InpR!O$101</f>
        <v>1.9199999999999998E-2</v>
      </c>
      <c r="P150" s="205">
        <f xml:space="preserve"> InpR!P$101</f>
        <v>1.9199999999999998E-2</v>
      </c>
      <c r="Q150" s="205">
        <f xml:space="preserve"> InpR!Q$101</f>
        <v>1.9199999999999998E-2</v>
      </c>
      <c r="R150" s="205">
        <f xml:space="preserve"> InpR!R$101</f>
        <v>1.9199999999999998E-2</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33.003</v>
      </c>
      <c r="M152" s="246">
        <f t="shared" si="74"/>
        <v>65.078824496267998</v>
      </c>
      <c r="N152" s="246">
        <f t="shared" si="74"/>
        <v>61.99551809049872</v>
      </c>
      <c r="O152" s="246">
        <f t="shared" si="74"/>
        <v>59.168439968895385</v>
      </c>
      <c r="P152" s="246">
        <f t="shared" si="74"/>
        <v>56.497476223766199</v>
      </c>
      <c r="Q152" s="246">
        <f t="shared" si="74"/>
        <v>53.946902963225384</v>
      </c>
      <c r="R152" s="246">
        <f t="shared" si="74"/>
        <v>51.411800546215581</v>
      </c>
    </row>
    <row r="153" spans="1:26" x14ac:dyDescent="0.25">
      <c r="C153" s="278"/>
      <c r="E153" s="7" t="s">
        <v>395</v>
      </c>
      <c r="F153" s="244"/>
      <c r="G153" s="184" t="s">
        <v>235</v>
      </c>
      <c r="H153" s="244"/>
      <c r="I153" s="244"/>
      <c r="J153" s="246">
        <f t="shared" ref="J153:K153" si="75">J150*J151*J152</f>
        <v>0</v>
      </c>
      <c r="K153" s="246">
        <f t="shared" si="75"/>
        <v>0</v>
      </c>
      <c r="L153" s="246">
        <f>L150*L151*L152</f>
        <v>0</v>
      </c>
      <c r="M153" s="246">
        <f t="shared" ref="M153:R153" si="76">M150*M151*M152</f>
        <v>1.2495134303283455</v>
      </c>
      <c r="N153" s="246">
        <f t="shared" si="76"/>
        <v>1.1903139473375752</v>
      </c>
      <c r="O153" s="246">
        <f t="shared" si="76"/>
        <v>1.1360340474027912</v>
      </c>
      <c r="P153" s="246">
        <f t="shared" si="76"/>
        <v>1.0847515434963109</v>
      </c>
      <c r="Q153" s="246">
        <f t="shared" si="76"/>
        <v>1.0357805368939272</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5.0535979063538488</v>
      </c>
      <c r="N155" s="184">
        <f t="shared" si="77"/>
        <v>4.8141684004054648</v>
      </c>
      <c r="O155" s="184">
        <f t="shared" si="77"/>
        <v>4.5946359151920495</v>
      </c>
      <c r="P155" s="184">
        <f t="shared" si="77"/>
        <v>4.3872262562928492</v>
      </c>
      <c r="Q155" s="184">
        <f t="shared" si="77"/>
        <v>4.1891653387940959</v>
      </c>
      <c r="R155" s="184">
        <f t="shared" si="77"/>
        <v>3.9923057863028242</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1.2495134303283455</v>
      </c>
      <c r="N156" s="184">
        <f t="shared" si="78"/>
        <v>1.1903139473375752</v>
      </c>
      <c r="O156" s="184">
        <f t="shared" si="78"/>
        <v>1.1360340474027912</v>
      </c>
      <c r="P156" s="184">
        <f t="shared" si="78"/>
        <v>1.0847515434963109</v>
      </c>
      <c r="Q156" s="184">
        <f t="shared" si="78"/>
        <v>1.0357805368939272</v>
      </c>
      <c r="R156" s="184">
        <f t="shared" si="78"/>
        <v>0</v>
      </c>
    </row>
    <row r="157" spans="1:26" x14ac:dyDescent="0.25">
      <c r="C157" s="278"/>
      <c r="E157" s="7" t="s">
        <v>396</v>
      </c>
      <c r="F157" s="244"/>
      <c r="G157" s="184" t="str">
        <f t="shared" ref="G157" si="79">G$155</f>
        <v>£m</v>
      </c>
      <c r="H157" s="244">
        <f>SUM(J157:R157)</f>
        <v>32.727493108800083</v>
      </c>
      <c r="I157" s="244"/>
      <c r="J157" s="244">
        <f t="shared" ref="J157:R157" si="80">SUM(J155:J156)</f>
        <v>0</v>
      </c>
      <c r="K157" s="244">
        <f t="shared" si="80"/>
        <v>0</v>
      </c>
      <c r="L157" s="244">
        <f>SUM(L155:L156)</f>
        <v>0</v>
      </c>
      <c r="M157" s="244">
        <f t="shared" si="80"/>
        <v>6.3031113366821945</v>
      </c>
      <c r="N157" s="244">
        <f t="shared" si="80"/>
        <v>6.00448234774304</v>
      </c>
      <c r="O157" s="244">
        <f t="shared" si="80"/>
        <v>5.730669962594841</v>
      </c>
      <c r="P157" s="244">
        <f t="shared" si="80"/>
        <v>5.4719777997891601</v>
      </c>
      <c r="Q157" s="244">
        <f t="shared" si="80"/>
        <v>5.2249458756880234</v>
      </c>
      <c r="R157" s="244">
        <f t="shared" si="80"/>
        <v>3.9923057863028242</v>
      </c>
    </row>
    <row r="159" spans="1:26" x14ac:dyDescent="0.25">
      <c r="E159" s="7" t="str">
        <f t="shared" ref="E159:R159" si="81" xml:space="preserve"> E$157</f>
        <v>Total True up Nominal revenue to company</v>
      </c>
      <c r="F159" s="184">
        <f t="shared" si="81"/>
        <v>0</v>
      </c>
      <c r="G159" s="184" t="str">
        <f t="shared" si="81"/>
        <v>£m</v>
      </c>
      <c r="H159" s="184">
        <f t="shared" si="81"/>
        <v>32.727493108800083</v>
      </c>
      <c r="I159" s="184">
        <f t="shared" si="81"/>
        <v>0</v>
      </c>
      <c r="J159" s="184">
        <f t="shared" si="81"/>
        <v>0</v>
      </c>
      <c r="K159" s="184">
        <f t="shared" si="81"/>
        <v>0</v>
      </c>
      <c r="L159" s="184">
        <f t="shared" si="81"/>
        <v>0</v>
      </c>
      <c r="M159" s="184">
        <f t="shared" si="81"/>
        <v>6.3031113366821945</v>
      </c>
      <c r="N159" s="184">
        <f t="shared" si="81"/>
        <v>6.00448234774304</v>
      </c>
      <c r="O159" s="184">
        <f t="shared" si="81"/>
        <v>5.730669962594841</v>
      </c>
      <c r="P159" s="184">
        <f t="shared" si="81"/>
        <v>5.4719777997891601</v>
      </c>
      <c r="Q159" s="184">
        <f t="shared" si="81"/>
        <v>5.2249458756880234</v>
      </c>
      <c r="R159" s="184">
        <f t="shared" si="81"/>
        <v>3.9923057863028242</v>
      </c>
    </row>
    <row r="160" spans="1:26" x14ac:dyDescent="0.25">
      <c r="E160" s="7" t="str">
        <f t="shared" ref="E160:R160" si="82" xml:space="preserve"> E$108</f>
        <v>Total nominal revenue company should have received</v>
      </c>
      <c r="F160" s="184">
        <f t="shared" si="82"/>
        <v>0</v>
      </c>
      <c r="G160" s="184" t="str">
        <f t="shared" si="82"/>
        <v>£m</v>
      </c>
      <c r="H160" s="184">
        <f t="shared" si="82"/>
        <v>33.945664451129481</v>
      </c>
      <c r="I160" s="184">
        <f t="shared" si="82"/>
        <v>0</v>
      </c>
      <c r="J160" s="184">
        <f t="shared" si="82"/>
        <v>0</v>
      </c>
      <c r="K160" s="184">
        <f t="shared" si="82"/>
        <v>0</v>
      </c>
      <c r="L160" s="184">
        <f t="shared" si="82"/>
        <v>0</v>
      </c>
      <c r="M160" s="184">
        <f t="shared" si="82"/>
        <v>6.2801600342112014</v>
      </c>
      <c r="N160" s="184">
        <f t="shared" si="82"/>
        <v>6.0494049776429053</v>
      </c>
      <c r="O160" s="184">
        <f t="shared" si="82"/>
        <v>5.9429535809160381</v>
      </c>
      <c r="P160" s="184">
        <f t="shared" si="82"/>
        <v>5.8070142054862135</v>
      </c>
      <c r="Q160" s="184">
        <f t="shared" si="82"/>
        <v>5.5439042788888866</v>
      </c>
      <c r="R160" s="184">
        <f t="shared" si="82"/>
        <v>4.3222273739842345</v>
      </c>
    </row>
    <row r="161" spans="1:16383" s="185" customFormat="1" x14ac:dyDescent="0.25">
      <c r="A161" s="252"/>
      <c r="B161" s="181"/>
      <c r="C161" s="182"/>
      <c r="D161" s="253"/>
      <c r="E161" s="7" t="s">
        <v>397</v>
      </c>
      <c r="G161" s="185" t="str">
        <f t="shared" ref="G161" si="83" xml:space="preserve"> G$153</f>
        <v>£m</v>
      </c>
      <c r="H161" s="185">
        <f xml:space="preserve"> SUM(J161:R161)</f>
        <v>1.2181713423293963</v>
      </c>
      <c r="J161" s="185">
        <f t="shared" ref="J161:K161" si="84">J160-J159</f>
        <v>0</v>
      </c>
      <c r="K161" s="185">
        <f t="shared" si="84"/>
        <v>0</v>
      </c>
      <c r="L161" s="185">
        <f>L160-L159</f>
        <v>0</v>
      </c>
      <c r="M161" s="185">
        <f>M160-M159</f>
        <v>-2.2951302470993085E-2</v>
      </c>
      <c r="N161" s="185">
        <f t="shared" ref="N161:R161" si="85">N160-N159</f>
        <v>4.4922629899865285E-2</v>
      </c>
      <c r="O161" s="185">
        <f t="shared" si="85"/>
        <v>0.21228361832119713</v>
      </c>
      <c r="P161" s="185">
        <f t="shared" si="85"/>
        <v>0.3350364056970534</v>
      </c>
      <c r="Q161" s="185">
        <f t="shared" si="85"/>
        <v>0.31895840320086322</v>
      </c>
      <c r="R161" s="185">
        <f t="shared" si="85"/>
        <v>0.32992158768141033</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1.2181713423293963</v>
      </c>
      <c r="I163" s="248">
        <f t="shared" si="86"/>
        <v>0</v>
      </c>
      <c r="J163" s="248">
        <f t="shared" si="86"/>
        <v>0</v>
      </c>
      <c r="K163" s="248">
        <f t="shared" si="86"/>
        <v>0</v>
      </c>
      <c r="L163" s="248">
        <f t="shared" si="86"/>
        <v>0</v>
      </c>
      <c r="M163" s="248">
        <f t="shared" si="86"/>
        <v>-2.2951302470993085E-2</v>
      </c>
      <c r="N163" s="248">
        <f t="shared" si="86"/>
        <v>4.4922629899865285E-2</v>
      </c>
      <c r="O163" s="248">
        <f t="shared" si="86"/>
        <v>0.21228361832119713</v>
      </c>
      <c r="P163" s="248">
        <f t="shared" si="86"/>
        <v>0.3350364056970534</v>
      </c>
      <c r="Q163" s="248">
        <f t="shared" si="86"/>
        <v>0.31895840320086322</v>
      </c>
      <c r="R163" s="248">
        <f t="shared" si="86"/>
        <v>0.32992158768141033</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0.88824975464798595</v>
      </c>
      <c r="I164" s="248">
        <f t="shared" si="87"/>
        <v>0</v>
      </c>
      <c r="J164" s="248">
        <f t="shared" si="87"/>
        <v>0</v>
      </c>
      <c r="K164" s="248">
        <f t="shared" si="87"/>
        <v>0</v>
      </c>
      <c r="L164" s="248">
        <f t="shared" si="87"/>
        <v>0</v>
      </c>
      <c r="M164" s="248">
        <f t="shared" si="87"/>
        <v>-2.2951302470993085E-2</v>
      </c>
      <c r="N164" s="248">
        <f t="shared" si="87"/>
        <v>4.4922629899865285E-2</v>
      </c>
      <c r="O164" s="248">
        <f t="shared" si="87"/>
        <v>0.21228361832119713</v>
      </c>
      <c r="P164" s="248">
        <f t="shared" si="87"/>
        <v>0.3350364056970534</v>
      </c>
      <c r="Q164" s="248">
        <f t="shared" si="87"/>
        <v>0.31895840320086322</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f>SUM(J165:R165)</f>
        <v>1</v>
      </c>
      <c r="G165" s="211" t="s">
        <v>318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1</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33.003</v>
      </c>
      <c r="M169" s="185">
        <f t="shared" si="90"/>
        <v>65.078824496267998</v>
      </c>
      <c r="N169" s="184">
        <f t="shared" si="90"/>
        <v>61.99551809049872</v>
      </c>
      <c r="O169" s="184">
        <f t="shared" si="90"/>
        <v>59.168439968895385</v>
      </c>
      <c r="P169" s="184">
        <f t="shared" si="90"/>
        <v>56.497476223766199</v>
      </c>
      <c r="Q169" s="184">
        <f t="shared" si="90"/>
        <v>53.946902963225384</v>
      </c>
      <c r="R169" s="184">
        <f t="shared" si="90"/>
        <v>51.411800546215581</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33.003</v>
      </c>
      <c r="M170" s="185">
        <f t="shared" si="91"/>
        <v>64.84185521146766</v>
      </c>
      <c r="N170" s="184">
        <f t="shared" si="91"/>
        <v>62.45933854217791</v>
      </c>
      <c r="O170" s="184">
        <f t="shared" si="91"/>
        <v>61.360241382866576</v>
      </c>
      <c r="P170" s="184">
        <f t="shared" si="91"/>
        <v>59.956684586361291</v>
      </c>
      <c r="Q170" s="184">
        <f t="shared" si="91"/>
        <v>57.240107990830857</v>
      </c>
      <c r="R170" s="184">
        <f t="shared" si="91"/>
        <v>55.660438744211781</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31.685028481061245</v>
      </c>
      <c r="M172" s="184">
        <f t="shared" si="92"/>
        <v>61.265066743221617</v>
      </c>
      <c r="N172" s="184">
        <f t="shared" si="92"/>
        <v>57.215088978575359</v>
      </c>
      <c r="O172" s="184">
        <f t="shared" si="92"/>
        <v>53.49473050598634</v>
      </c>
      <c r="P172" s="184">
        <f t="shared" si="92"/>
        <v>50.030620474733226</v>
      </c>
      <c r="Q172" s="184">
        <f t="shared" si="92"/>
        <v>46.789001363327834</v>
      </c>
      <c r="R172" s="184">
        <f t="shared" si="92"/>
        <v>43.716197697159409</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31.685028481061245</v>
      </c>
      <c r="M173" s="184">
        <f t="shared" si="92"/>
        <v>61.041984363326776</v>
      </c>
      <c r="N173" s="184">
        <f t="shared" si="92"/>
        <v>57.643144574048719</v>
      </c>
      <c r="O173" s="184">
        <f t="shared" si="92"/>
        <v>55.476358313389518</v>
      </c>
      <c r="P173" s="184">
        <f t="shared" si="92"/>
        <v>53.093878381096424</v>
      </c>
      <c r="Q173" s="184">
        <f t="shared" si="92"/>
        <v>49.645250120209909</v>
      </c>
      <c r="R173" s="184">
        <f t="shared" si="92"/>
        <v>47.328876215203969</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f t="shared" si="93"/>
        <v>0</v>
      </c>
      <c r="M174" s="185">
        <f t="shared" si="93"/>
        <v>-0.2230823798948407</v>
      </c>
      <c r="N174" s="185">
        <f t="shared" si="93"/>
        <v>0.42805559547336003</v>
      </c>
      <c r="O174" s="185">
        <f t="shared" si="93"/>
        <v>1.9816278074031786</v>
      </c>
      <c r="P174" s="185">
        <f t="shared" si="93"/>
        <v>3.0632579063631979</v>
      </c>
      <c r="Q174" s="185">
        <f t="shared" si="93"/>
        <v>2.8562487568820742</v>
      </c>
      <c r="R174" s="185">
        <f t="shared" si="93"/>
        <v>3.6126785180445609</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-0.2230823798948407</v>
      </c>
      <c r="N176" s="185">
        <f t="shared" si="94"/>
        <v>0.42805559547336003</v>
      </c>
      <c r="O176" s="185">
        <f t="shared" si="94"/>
        <v>1.9816278074031786</v>
      </c>
      <c r="P176" s="185">
        <f t="shared" si="94"/>
        <v>3.0632579063631979</v>
      </c>
      <c r="Q176" s="185">
        <f t="shared" si="94"/>
        <v>2.8562487568820742</v>
      </c>
      <c r="R176" s="185">
        <f t="shared" si="94"/>
        <v>3.6126785180445609</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401</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2.8562487568820742</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5.0535979063538488</v>
      </c>
      <c r="N182" s="184">
        <f t="shared" si="96"/>
        <v>4.8141684004054648</v>
      </c>
      <c r="O182" s="184">
        <f t="shared" si="96"/>
        <v>4.5946359151920495</v>
      </c>
      <c r="P182" s="184">
        <f t="shared" si="96"/>
        <v>4.3872262562928492</v>
      </c>
      <c r="Q182" s="184">
        <f t="shared" si="96"/>
        <v>4.1891653387940959</v>
      </c>
      <c r="R182" s="184">
        <f t="shared" si="96"/>
        <v>3.9923057863028242</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1.2495134303283455</v>
      </c>
      <c r="N183" s="184">
        <f t="shared" si="97"/>
        <v>1.1903139473375752</v>
      </c>
      <c r="O183" s="184">
        <f t="shared" si="97"/>
        <v>1.1360340474027912</v>
      </c>
      <c r="P183" s="184">
        <f t="shared" si="97"/>
        <v>1.0847515434963109</v>
      </c>
      <c r="Q183" s="184">
        <f t="shared" si="97"/>
        <v>1.0357805368939272</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32.727493108800083</v>
      </c>
      <c r="I184" s="184">
        <f t="shared" si="98"/>
        <v>0</v>
      </c>
      <c r="J184" s="184">
        <f t="shared" si="98"/>
        <v>0</v>
      </c>
      <c r="K184" s="184">
        <f t="shared" si="98"/>
        <v>0</v>
      </c>
      <c r="L184" s="184">
        <f t="shared" si="98"/>
        <v>0</v>
      </c>
      <c r="M184" s="184">
        <f t="shared" si="98"/>
        <v>6.3031113366821945</v>
      </c>
      <c r="N184" s="184">
        <f t="shared" si="98"/>
        <v>6.00448234774304</v>
      </c>
      <c r="O184" s="184">
        <f t="shared" si="98"/>
        <v>5.730669962594841</v>
      </c>
      <c r="P184" s="184">
        <f t="shared" si="98"/>
        <v>5.4719777997891601</v>
      </c>
      <c r="Q184" s="184">
        <f t="shared" si="98"/>
        <v>5.2249458756880234</v>
      </c>
      <c r="R184" s="184">
        <f t="shared" si="98"/>
        <v>3.9923057863028242</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5.0351964141510228</v>
      </c>
      <c r="N185" s="184">
        <f t="shared" si="99"/>
        <v>4.8501856776330898</v>
      </c>
      <c r="O185" s="184">
        <f t="shared" si="99"/>
        <v>4.7648369463649995</v>
      </c>
      <c r="P185" s="184">
        <f t="shared" si="99"/>
        <v>4.6558458614280767</v>
      </c>
      <c r="Q185" s="184">
        <f t="shared" si="99"/>
        <v>4.4448942054649345</v>
      </c>
      <c r="R185" s="184">
        <f t="shared" si="99"/>
        <v>4.3222273739842345</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1.244963620060179</v>
      </c>
      <c r="N186" s="184">
        <f t="shared" si="100"/>
        <v>1.1992193000098157</v>
      </c>
      <c r="O186" s="184">
        <f t="shared" si="100"/>
        <v>1.1781166345510381</v>
      </c>
      <c r="P186" s="184">
        <f t="shared" si="100"/>
        <v>1.1511683440581366</v>
      </c>
      <c r="Q186" s="184">
        <f t="shared" si="100"/>
        <v>1.0990100734239523</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33.945664451129481</v>
      </c>
      <c r="I187" s="184">
        <f t="shared" si="101"/>
        <v>0</v>
      </c>
      <c r="J187" s="184">
        <f t="shared" si="101"/>
        <v>0</v>
      </c>
      <c r="K187" s="184">
        <f t="shared" si="101"/>
        <v>0</v>
      </c>
      <c r="L187" s="184">
        <f t="shared" si="101"/>
        <v>0</v>
      </c>
      <c r="M187" s="184">
        <f t="shared" si="101"/>
        <v>6.2801600342112014</v>
      </c>
      <c r="N187" s="184">
        <f t="shared" si="101"/>
        <v>6.0494049776429053</v>
      </c>
      <c r="O187" s="184">
        <f t="shared" si="101"/>
        <v>5.9429535809160381</v>
      </c>
      <c r="P187" s="184">
        <f t="shared" si="101"/>
        <v>5.8070142054862135</v>
      </c>
      <c r="Q187" s="184">
        <f t="shared" si="101"/>
        <v>5.5439042788888866</v>
      </c>
      <c r="R187" s="184">
        <f t="shared" si="101"/>
        <v>4.3222273739842345</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24.267547248762092</v>
      </c>
      <c r="I189" s="184"/>
      <c r="J189" s="184">
        <f t="shared" ref="J189:R194" si="105" xml:space="preserve"> IF(J$188 = 0, 0, J182 / J$188)</f>
        <v>0</v>
      </c>
      <c r="K189" s="184">
        <f t="shared" si="105"/>
        <v>0</v>
      </c>
      <c r="L189" s="184">
        <f t="shared" si="105"/>
        <v>0</v>
      </c>
      <c r="M189" s="185">
        <f t="shared" si="105"/>
        <v>4.7574463033506138</v>
      </c>
      <c r="N189" s="184">
        <f t="shared" si="105"/>
        <v>4.4429513918242129</v>
      </c>
      <c r="O189" s="184">
        <f t="shared" si="105"/>
        <v>4.1540525689968302</v>
      </c>
      <c r="P189" s="184">
        <f t="shared" si="105"/>
        <v>3.8850523321790313</v>
      </c>
      <c r="Q189" s="184">
        <f t="shared" si="105"/>
        <v>3.6333292919828399</v>
      </c>
      <c r="R189" s="184">
        <f t="shared" si="105"/>
        <v>3.3947153604285645</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5.160854554864212</v>
      </c>
      <c r="I190" s="184"/>
      <c r="J190" s="184">
        <f t="shared" si="105"/>
        <v>0</v>
      </c>
      <c r="K190" s="184">
        <f t="shared" si="105"/>
        <v>0</v>
      </c>
      <c r="L190" s="184">
        <f t="shared" si="105"/>
        <v>0</v>
      </c>
      <c r="M190" s="185">
        <f t="shared" si="105"/>
        <v>1.1762892814698549</v>
      </c>
      <c r="N190" s="184">
        <f xml:space="preserve"> IF(N$188 = 0, 0, N183 / N$188)</f>
        <v>1.0985297083886467</v>
      </c>
      <c r="O190" s="184">
        <f t="shared" si="105"/>
        <v>1.0270988257149376</v>
      </c>
      <c r="P190" s="184">
        <f t="shared" si="105"/>
        <v>0.9605879131148779</v>
      </c>
      <c r="Q190" s="184">
        <f t="shared" si="105"/>
        <v>0.89834882617589429</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29.428401803626304</v>
      </c>
      <c r="I191" s="184"/>
      <c r="J191" s="184">
        <f t="shared" si="105"/>
        <v>0</v>
      </c>
      <c r="K191" s="184">
        <f t="shared" si="105"/>
        <v>0</v>
      </c>
      <c r="L191" s="184">
        <f t="shared" si="105"/>
        <v>0</v>
      </c>
      <c r="M191" s="185">
        <f t="shared" si="105"/>
        <v>5.9337355848204689</v>
      </c>
      <c r="N191" s="184">
        <f t="shared" si="105"/>
        <v>5.5414811002128594</v>
      </c>
      <c r="O191" s="184">
        <f t="shared" si="105"/>
        <v>5.181151394711768</v>
      </c>
      <c r="P191" s="184">
        <f t="shared" si="105"/>
        <v>4.8456402452939091</v>
      </c>
      <c r="Q191" s="184">
        <f t="shared" si="105"/>
        <v>4.5316781181587347</v>
      </c>
      <c r="R191" s="184">
        <f t="shared" si="105"/>
        <v>3.3947153604285645</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25.177551906733612</v>
      </c>
      <c r="I192" s="184"/>
      <c r="J192" s="184">
        <f t="shared" si="105"/>
        <v>0</v>
      </c>
      <c r="K192" s="184">
        <f t="shared" si="105"/>
        <v>0</v>
      </c>
      <c r="L192" s="184">
        <f t="shared" si="105"/>
        <v>0</v>
      </c>
      <c r="M192" s="185">
        <f t="shared" si="105"/>
        <v>4.7401231777916131</v>
      </c>
      <c r="N192" s="184">
        <f t="shared" si="105"/>
        <v>4.4761914031156165</v>
      </c>
      <c r="O192" s="184">
        <f t="shared" si="105"/>
        <v>4.3079328859229538</v>
      </c>
      <c r="P192" s="184">
        <f t="shared" si="105"/>
        <v>4.1229250021610566</v>
      </c>
      <c r="Q192" s="184">
        <f t="shared" si="105"/>
        <v>3.8551269788576672</v>
      </c>
      <c r="R192" s="184">
        <f t="shared" si="105"/>
        <v>3.6752524588847071</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5.3164918224397688</v>
      </c>
      <c r="I193" s="184"/>
      <c r="J193" s="184">
        <f t="shared" si="105"/>
        <v>0</v>
      </c>
      <c r="K193" s="184">
        <f t="shared" si="105"/>
        <v>0</v>
      </c>
      <c r="L193" s="184">
        <f t="shared" si="105"/>
        <v>0</v>
      </c>
      <c r="M193" s="185">
        <f t="shared" si="105"/>
        <v>1.1720060997758739</v>
      </c>
      <c r="N193" s="184">
        <f t="shared" si="105"/>
        <v>1.1067483758217351</v>
      </c>
      <c r="O193" s="184">
        <f t="shared" si="105"/>
        <v>1.0651460796170786</v>
      </c>
      <c r="P193" s="184">
        <f t="shared" si="105"/>
        <v>1.0194024649170512</v>
      </c>
      <c r="Q193" s="184">
        <f t="shared" si="105"/>
        <v>0.95318880230803016</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30.494043729173381</v>
      </c>
      <c r="I194" s="184"/>
      <c r="J194" s="184">
        <f t="shared" si="105"/>
        <v>0</v>
      </c>
      <c r="K194" s="184">
        <f t="shared" si="105"/>
        <v>0</v>
      </c>
      <c r="L194" s="184">
        <f t="shared" si="105"/>
        <v>0</v>
      </c>
      <c r="M194" s="185">
        <f t="shared" si="105"/>
        <v>5.9121292775674874</v>
      </c>
      <c r="N194" s="184">
        <f t="shared" si="105"/>
        <v>5.5829397789373516</v>
      </c>
      <c r="O194" s="184">
        <f t="shared" si="105"/>
        <v>5.3730789655400324</v>
      </c>
      <c r="P194" s="184">
        <f t="shared" si="105"/>
        <v>5.1423274670781076</v>
      </c>
      <c r="Q194" s="184">
        <f t="shared" si="105"/>
        <v>4.8083157811656969</v>
      </c>
      <c r="R194" s="184">
        <f t="shared" si="105"/>
        <v>3.6752524588847071</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24.267547248762092</v>
      </c>
      <c r="I196" s="247">
        <f t="shared" si="106"/>
        <v>0</v>
      </c>
      <c r="J196" s="184">
        <f t="shared" si="106"/>
        <v>0</v>
      </c>
      <c r="K196" s="184">
        <f t="shared" si="106"/>
        <v>0</v>
      </c>
      <c r="L196" s="184">
        <f t="shared" si="106"/>
        <v>0</v>
      </c>
      <c r="M196" s="185">
        <f t="shared" si="106"/>
        <v>4.7574463033506138</v>
      </c>
      <c r="N196" s="184">
        <f t="shared" si="106"/>
        <v>4.4429513918242129</v>
      </c>
      <c r="O196" s="184">
        <f t="shared" si="106"/>
        <v>4.1540525689968302</v>
      </c>
      <c r="P196" s="184">
        <f t="shared" si="106"/>
        <v>3.8850523321790313</v>
      </c>
      <c r="Q196" s="184">
        <f t="shared" si="106"/>
        <v>3.6333292919828399</v>
      </c>
      <c r="R196" s="184">
        <f t="shared" si="106"/>
        <v>3.3947153604285645</v>
      </c>
    </row>
    <row r="197" spans="1:26" x14ac:dyDescent="0.25">
      <c r="E197" s="7" t="str">
        <f>E$192</f>
        <v>RCV run-off company should have received- real</v>
      </c>
      <c r="F197" s="184">
        <f t="shared" ref="F197:R197" si="107">F$192</f>
        <v>0</v>
      </c>
      <c r="G197" s="7" t="str">
        <f t="shared" si="107"/>
        <v>£m</v>
      </c>
      <c r="H197" s="247">
        <f t="shared" si="107"/>
        <v>25.177551906733612</v>
      </c>
      <c r="I197" s="247">
        <f t="shared" si="107"/>
        <v>0</v>
      </c>
      <c r="J197" s="184">
        <f t="shared" si="107"/>
        <v>0</v>
      </c>
      <c r="K197" s="184">
        <f t="shared" si="107"/>
        <v>0</v>
      </c>
      <c r="L197" s="184">
        <f t="shared" si="107"/>
        <v>0</v>
      </c>
      <c r="M197" s="185">
        <f t="shared" si="107"/>
        <v>4.7401231777916131</v>
      </c>
      <c r="N197" s="184">
        <f t="shared" si="107"/>
        <v>4.4761914031156165</v>
      </c>
      <c r="O197" s="184">
        <f t="shared" si="107"/>
        <v>4.3079328859229538</v>
      </c>
      <c r="P197" s="184">
        <f t="shared" si="107"/>
        <v>4.1229250021610566</v>
      </c>
      <c r="Q197" s="184">
        <f t="shared" si="107"/>
        <v>3.8551269788576672</v>
      </c>
      <c r="R197" s="184">
        <f t="shared" si="107"/>
        <v>3.6752524588847071</v>
      </c>
    </row>
    <row r="198" spans="1:26" x14ac:dyDescent="0.25">
      <c r="C198" s="278"/>
      <c r="E198" s="7" t="s">
        <v>403</v>
      </c>
      <c r="G198" s="7" t="s">
        <v>235</v>
      </c>
      <c r="H198" s="185">
        <f xml:space="preserve"> SUM(J198:R198)</f>
        <v>0.91000465797152152</v>
      </c>
      <c r="I198" s="185"/>
      <c r="J198" s="184">
        <f t="shared" ref="J198:K198" si="108">J197-J196</f>
        <v>0</v>
      </c>
      <c r="K198" s="184">
        <f t="shared" si="108"/>
        <v>0</v>
      </c>
      <c r="L198" s="184">
        <f>L197-L196</f>
        <v>0</v>
      </c>
      <c r="M198" s="185">
        <f>M197-M196</f>
        <v>-1.7323125559000729E-2</v>
      </c>
      <c r="N198" s="184">
        <f t="shared" ref="N198:R198" si="109">N197-N196</f>
        <v>3.3240011291403526E-2</v>
      </c>
      <c r="O198" s="184">
        <f t="shared" si="109"/>
        <v>0.15388031692612358</v>
      </c>
      <c r="P198" s="184">
        <f t="shared" si="109"/>
        <v>0.23787266998202528</v>
      </c>
      <c r="Q198" s="184">
        <f t="shared" si="109"/>
        <v>0.22179768687482726</v>
      </c>
      <c r="R198" s="184">
        <f t="shared" si="109"/>
        <v>0.28053709845614261</v>
      </c>
    </row>
    <row r="200" spans="1:26" x14ac:dyDescent="0.25">
      <c r="E200" s="7" t="str">
        <f>E$190</f>
        <v>True up Nominal return- real</v>
      </c>
      <c r="F200" s="184">
        <f t="shared" ref="F200:R200" si="110">F$190</f>
        <v>0</v>
      </c>
      <c r="G200" s="7" t="str">
        <f t="shared" si="110"/>
        <v>£m</v>
      </c>
      <c r="H200" s="247">
        <f t="shared" si="110"/>
        <v>5.160854554864212</v>
      </c>
      <c r="I200" s="247">
        <f t="shared" si="110"/>
        <v>0</v>
      </c>
      <c r="J200" s="184">
        <f t="shared" si="110"/>
        <v>0</v>
      </c>
      <c r="K200" s="184">
        <f t="shared" si="110"/>
        <v>0</v>
      </c>
      <c r="L200" s="184">
        <f t="shared" si="110"/>
        <v>0</v>
      </c>
      <c r="M200" s="185">
        <f t="shared" si="110"/>
        <v>1.1762892814698549</v>
      </c>
      <c r="N200" s="184">
        <f t="shared" si="110"/>
        <v>1.0985297083886467</v>
      </c>
      <c r="O200" s="184">
        <f t="shared" si="110"/>
        <v>1.0270988257149376</v>
      </c>
      <c r="P200" s="184">
        <f t="shared" si="110"/>
        <v>0.9605879131148779</v>
      </c>
      <c r="Q200" s="184">
        <f t="shared" si="110"/>
        <v>0.89834882617589429</v>
      </c>
      <c r="R200" s="184">
        <f t="shared" si="110"/>
        <v>0</v>
      </c>
    </row>
    <row r="201" spans="1:26" x14ac:dyDescent="0.25">
      <c r="E201" s="7" t="str">
        <f>E$193</f>
        <v>Nominal return company should have received- real</v>
      </c>
      <c r="F201" s="184">
        <f t="shared" ref="F201:R201" si="111">F$193</f>
        <v>0</v>
      </c>
      <c r="G201" s="7" t="str">
        <f t="shared" si="111"/>
        <v>£m</v>
      </c>
      <c r="H201" s="247">
        <f t="shared" si="111"/>
        <v>5.3164918224397688</v>
      </c>
      <c r="I201" s="247">
        <f t="shared" si="111"/>
        <v>0</v>
      </c>
      <c r="J201" s="184">
        <f t="shared" si="111"/>
        <v>0</v>
      </c>
      <c r="K201" s="184">
        <f t="shared" si="111"/>
        <v>0</v>
      </c>
      <c r="L201" s="184">
        <f t="shared" si="111"/>
        <v>0</v>
      </c>
      <c r="M201" s="185">
        <f t="shared" si="111"/>
        <v>1.1720060997758739</v>
      </c>
      <c r="N201" s="184">
        <f t="shared" si="111"/>
        <v>1.1067483758217351</v>
      </c>
      <c r="O201" s="184">
        <f t="shared" si="111"/>
        <v>1.0651460796170786</v>
      </c>
      <c r="P201" s="184">
        <f t="shared" si="111"/>
        <v>1.0194024649170512</v>
      </c>
      <c r="Q201" s="184">
        <f t="shared" si="111"/>
        <v>0.95318880230803016</v>
      </c>
      <c r="R201" s="184">
        <f t="shared" si="111"/>
        <v>0</v>
      </c>
    </row>
    <row r="202" spans="1:26" x14ac:dyDescent="0.25">
      <c r="C202" s="278"/>
      <c r="E202" s="7" t="s">
        <v>404</v>
      </c>
      <c r="G202" s="7" t="s">
        <v>235</v>
      </c>
      <c r="H202" s="185">
        <f xml:space="preserve"> SUM(J202:R202)</f>
        <v>0.15563726757555763</v>
      </c>
      <c r="I202" s="185"/>
      <c r="J202" s="184">
        <f t="shared" ref="J202:K202" si="112">J201-J200</f>
        <v>0</v>
      </c>
      <c r="K202" s="184">
        <f t="shared" si="112"/>
        <v>0</v>
      </c>
      <c r="L202" s="184">
        <f>L201-L200</f>
        <v>0</v>
      </c>
      <c r="M202" s="185">
        <f>M201-M200</f>
        <v>-4.2831816939810086E-3</v>
      </c>
      <c r="N202" s="184">
        <f t="shared" ref="N202:R202" si="113">N201-N200</f>
        <v>8.2186674330884113E-3</v>
      </c>
      <c r="O202" s="184">
        <f>O201-O200</f>
        <v>3.8047253902141032E-2</v>
      </c>
      <c r="P202" s="184">
        <f t="shared" si="113"/>
        <v>5.881455180217332E-2</v>
      </c>
      <c r="Q202" s="184">
        <f t="shared" si="113"/>
        <v>5.483997613213587E-2</v>
      </c>
      <c r="R202" s="184">
        <f t="shared" si="113"/>
        <v>0</v>
      </c>
    </row>
    <row r="204" spans="1:26" x14ac:dyDescent="0.25">
      <c r="E204" s="7" t="str">
        <f>E$191</f>
        <v>Total True up Nominal revenue to company- real</v>
      </c>
      <c r="F204" s="184">
        <f t="shared" ref="F204:R204" si="114">F$191</f>
        <v>0</v>
      </c>
      <c r="G204" s="7" t="str">
        <f t="shared" si="114"/>
        <v>£m</v>
      </c>
      <c r="H204" s="247">
        <f t="shared" si="114"/>
        <v>29.428401803626304</v>
      </c>
      <c r="I204" s="247"/>
      <c r="J204" s="184">
        <f t="shared" si="114"/>
        <v>0</v>
      </c>
      <c r="K204" s="184">
        <f t="shared" si="114"/>
        <v>0</v>
      </c>
      <c r="L204" s="184">
        <f t="shared" si="114"/>
        <v>0</v>
      </c>
      <c r="M204" s="185">
        <f t="shared" si="114"/>
        <v>5.9337355848204689</v>
      </c>
      <c r="N204" s="184">
        <f t="shared" si="114"/>
        <v>5.5414811002128594</v>
      </c>
      <c r="O204" s="184">
        <f t="shared" si="114"/>
        <v>5.181151394711768</v>
      </c>
      <c r="P204" s="184">
        <f t="shared" si="114"/>
        <v>4.8456402452939091</v>
      </c>
      <c r="Q204" s="184">
        <f t="shared" si="114"/>
        <v>4.5316781181587347</v>
      </c>
      <c r="R204" s="184">
        <f t="shared" si="114"/>
        <v>3.3947153604285645</v>
      </c>
    </row>
    <row r="205" spans="1:26" x14ac:dyDescent="0.25">
      <c r="E205" s="7" t="str">
        <f>E$194</f>
        <v>Total nominal revenue company should have received- real</v>
      </c>
      <c r="F205" s="184">
        <f t="shared" ref="F205:R205" si="115">F$194</f>
        <v>0</v>
      </c>
      <c r="G205" s="7" t="str">
        <f t="shared" si="115"/>
        <v>£m</v>
      </c>
      <c r="H205" s="247">
        <f t="shared" si="115"/>
        <v>30.494043729173381</v>
      </c>
      <c r="I205" s="247"/>
      <c r="J205" s="184">
        <f t="shared" si="115"/>
        <v>0</v>
      </c>
      <c r="K205" s="184">
        <f t="shared" si="115"/>
        <v>0</v>
      </c>
      <c r="L205" s="184">
        <f t="shared" si="115"/>
        <v>0</v>
      </c>
      <c r="M205" s="185">
        <f t="shared" si="115"/>
        <v>5.9121292775674874</v>
      </c>
      <c r="N205" s="184">
        <f t="shared" si="115"/>
        <v>5.5829397789373516</v>
      </c>
      <c r="O205" s="184">
        <f t="shared" si="115"/>
        <v>5.3730789655400324</v>
      </c>
      <c r="P205" s="184">
        <f t="shared" si="115"/>
        <v>5.1423274670781076</v>
      </c>
      <c r="Q205" s="184">
        <f t="shared" si="115"/>
        <v>4.8083157811656969</v>
      </c>
      <c r="R205" s="184">
        <f t="shared" si="115"/>
        <v>3.6752524588847071</v>
      </c>
    </row>
    <row r="206" spans="1:26" x14ac:dyDescent="0.25">
      <c r="C206" s="278"/>
      <c r="E206" s="7" t="s">
        <v>405</v>
      </c>
      <c r="G206" s="7" t="s">
        <v>235</v>
      </c>
      <c r="H206" s="185">
        <f xml:space="preserve"> SUM(J206:R206)</f>
        <v>1.0656419255470784</v>
      </c>
      <c r="I206" s="185"/>
      <c r="J206" s="184">
        <f t="shared" ref="J206:K206" si="116">J205-J204</f>
        <v>0</v>
      </c>
      <c r="K206" s="184">
        <f t="shared" si="116"/>
        <v>0</v>
      </c>
      <c r="L206" s="184">
        <f>L205-L204</f>
        <v>0</v>
      </c>
      <c r="M206" s="185">
        <f>M205-M204</f>
        <v>-2.1606307252981516E-2</v>
      </c>
      <c r="N206" s="184">
        <f t="shared" ref="N206:R206" si="117">N205-N204</f>
        <v>4.145867872449216E-2</v>
      </c>
      <c r="O206" s="184">
        <f t="shared" si="117"/>
        <v>0.19192757082826439</v>
      </c>
      <c r="P206" s="184">
        <f t="shared" si="117"/>
        <v>0.29668722178419848</v>
      </c>
      <c r="Q206" s="184">
        <f t="shared" si="117"/>
        <v>0.27663766300696224</v>
      </c>
      <c r="R206" s="184">
        <f t="shared" si="117"/>
        <v>0.28053709845614261</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2.92E-2</v>
      </c>
      <c r="N210" s="205">
        <f>InpR!N$108</f>
        <v>2.92E-2</v>
      </c>
      <c r="O210" s="205">
        <f>InpR!O$108</f>
        <v>2.92E-2</v>
      </c>
      <c r="P210" s="205">
        <f>InpR!P$108</f>
        <v>2.92E-2</v>
      </c>
      <c r="Q210" s="205">
        <f>InpR!Q$108</f>
        <v>2.92E-2</v>
      </c>
      <c r="R210" s="205">
        <f>InpR!R$108</f>
        <v>2.92E-2</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1.122016155346969</v>
      </c>
      <c r="N211" s="255">
        <f t="shared" si="118"/>
        <v>1.0901828170879997</v>
      </c>
      <c r="O211" s="255">
        <f t="shared" si="118"/>
        <v>1.0592526399999997</v>
      </c>
      <c r="P211" s="255">
        <f t="shared" si="118"/>
        <v>1.0291999999999999</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f t="shared" si="119"/>
        <v>0.91000465797152152</v>
      </c>
      <c r="I214" s="247">
        <f t="shared" si="119"/>
        <v>0</v>
      </c>
      <c r="J214" s="184">
        <f t="shared" si="119"/>
        <v>0</v>
      </c>
      <c r="K214" s="184">
        <f t="shared" si="119"/>
        <v>0</v>
      </c>
      <c r="L214" s="184">
        <f t="shared" si="119"/>
        <v>0</v>
      </c>
      <c r="M214" s="185">
        <f t="shared" si="119"/>
        <v>-1.7323125559000729E-2</v>
      </c>
      <c r="N214" s="184">
        <f t="shared" si="119"/>
        <v>3.3240011291403526E-2</v>
      </c>
      <c r="O214" s="184">
        <f t="shared" si="119"/>
        <v>0.15388031692612358</v>
      </c>
      <c r="P214" s="184">
        <f t="shared" si="119"/>
        <v>0.23787266998202528</v>
      </c>
      <c r="Q214" s="184">
        <f t="shared" si="119"/>
        <v>0.22179768687482726</v>
      </c>
      <c r="R214" s="184">
        <f t="shared" si="119"/>
        <v>0.28053709845614261</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1.122016155346969</v>
      </c>
      <c r="N215" s="184">
        <f t="shared" si="120"/>
        <v>1.0901828170879997</v>
      </c>
      <c r="O215" s="184">
        <f t="shared" si="120"/>
        <v>1.0592526399999997</v>
      </c>
      <c r="P215" s="184">
        <f t="shared" si="120"/>
        <v>1.0291999999999999</v>
      </c>
      <c r="Q215" s="184">
        <f t="shared" si="120"/>
        <v>1</v>
      </c>
      <c r="R215" s="184">
        <f t="shared" si="120"/>
        <v>1</v>
      </c>
    </row>
    <row r="216" spans="1:18" s="34" customFormat="1" x14ac:dyDescent="0.25">
      <c r="A216" s="265"/>
      <c r="B216" s="266"/>
      <c r="C216" s="267"/>
      <c r="D216" s="268"/>
      <c r="E216" s="34" t="s">
        <v>410</v>
      </c>
      <c r="G216" s="34" t="s">
        <v>235</v>
      </c>
      <c r="H216" s="271">
        <f xml:space="preserve"> SUM(J216:R216)</f>
        <v>0.92695233163589974</v>
      </c>
      <c r="J216" s="271">
        <f xml:space="preserve"> J214 * J215</f>
        <v>0</v>
      </c>
      <c r="K216" s="271">
        <f t="shared" ref="K216:R216" si="121" xml:space="preserve"> K214 * K215</f>
        <v>0</v>
      </c>
      <c r="L216" s="271">
        <f t="shared" si="121"/>
        <v>0</v>
      </c>
      <c r="M216" s="277">
        <f t="shared" si="121"/>
        <v>-1.9436826738302812E-2</v>
      </c>
      <c r="N216" s="271">
        <f t="shared" si="121"/>
        <v>3.6237689149699215E-2</v>
      </c>
      <c r="O216" s="271">
        <f t="shared" si="121"/>
        <v>0.16299813194803306</v>
      </c>
      <c r="P216" s="271">
        <f t="shared" si="121"/>
        <v>0.2448185519455004</v>
      </c>
      <c r="Q216" s="271">
        <f t="shared" si="121"/>
        <v>0.22179768687482726</v>
      </c>
      <c r="R216" s="271">
        <f t="shared" si="121"/>
        <v>0.28053709845614261</v>
      </c>
    </row>
    <row r="218" spans="1:18" x14ac:dyDescent="0.25">
      <c r="B218" s="61" t="s">
        <v>411</v>
      </c>
    </row>
    <row r="219" spans="1:18" x14ac:dyDescent="0.25">
      <c r="E219" s="7" t="str">
        <f>E202</f>
        <v>Value of True up return - real</v>
      </c>
      <c r="F219" s="184">
        <f t="shared" ref="F219:R219" si="122">F202</f>
        <v>0</v>
      </c>
      <c r="G219" s="7" t="str">
        <f t="shared" si="122"/>
        <v>£m</v>
      </c>
      <c r="H219" s="247">
        <f t="shared" si="122"/>
        <v>0.15563726757555763</v>
      </c>
      <c r="I219" s="247">
        <f t="shared" si="122"/>
        <v>0</v>
      </c>
      <c r="J219" s="184">
        <f t="shared" si="122"/>
        <v>0</v>
      </c>
      <c r="K219" s="184">
        <f t="shared" si="122"/>
        <v>0</v>
      </c>
      <c r="L219" s="184">
        <f t="shared" si="122"/>
        <v>0</v>
      </c>
      <c r="M219" s="185">
        <f t="shared" si="122"/>
        <v>-4.2831816939810086E-3</v>
      </c>
      <c r="N219" s="184">
        <f t="shared" si="122"/>
        <v>8.2186674330884113E-3</v>
      </c>
      <c r="O219" s="184">
        <f t="shared" si="122"/>
        <v>3.8047253902141032E-2</v>
      </c>
      <c r="P219" s="184">
        <f t="shared" si="122"/>
        <v>5.881455180217332E-2</v>
      </c>
      <c r="Q219" s="184">
        <f t="shared" si="122"/>
        <v>5.483997613213587E-2</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1.122016155346969</v>
      </c>
      <c r="N220" s="184">
        <f t="shared" si="123"/>
        <v>1.0901828170879997</v>
      </c>
      <c r="O220" s="184">
        <f t="shared" si="123"/>
        <v>1.0592526399999997</v>
      </c>
      <c r="P220" s="184">
        <f t="shared" si="123"/>
        <v>1.0291999999999999</v>
      </c>
      <c r="Q220" s="184">
        <f t="shared" si="123"/>
        <v>1</v>
      </c>
      <c r="R220" s="184">
        <f t="shared" si="123"/>
        <v>1</v>
      </c>
    </row>
    <row r="221" spans="1:18" s="34" customFormat="1" x14ac:dyDescent="0.25">
      <c r="A221" s="265"/>
      <c r="B221" s="266"/>
      <c r="C221" s="267"/>
      <c r="D221" s="268"/>
      <c r="E221" s="34" t="s">
        <v>412</v>
      </c>
      <c r="G221" s="34" t="s">
        <v>235</v>
      </c>
      <c r="H221" s="271">
        <f xml:space="preserve"> SUM(J221:R221)</f>
        <v>0.15982761794550646</v>
      </c>
      <c r="J221" s="271">
        <f xml:space="preserve"> J219 * J220</f>
        <v>0</v>
      </c>
      <c r="K221" s="271">
        <f t="shared" ref="K221:M221" si="124" xml:space="preserve"> K219 * K220</f>
        <v>0</v>
      </c>
      <c r="L221" s="271">
        <f t="shared" si="124"/>
        <v>0</v>
      </c>
      <c r="M221" s="277">
        <f t="shared" si="124"/>
        <v>-4.8057990569330888E-3</v>
      </c>
      <c r="N221" s="271">
        <f xml:space="preserve"> N219 * N220</f>
        <v>8.9598500149137231E-3</v>
      </c>
      <c r="O221" s="271">
        <f t="shared" ref="O221:R221" si="125" xml:space="preserve"> O219 * O220</f>
        <v>4.0301654140593182E-2</v>
      </c>
      <c r="P221" s="271">
        <f t="shared" si="125"/>
        <v>6.0531936714796772E-2</v>
      </c>
      <c r="Q221" s="271">
        <f t="shared" si="125"/>
        <v>5.483997613213587E-2</v>
      </c>
      <c r="R221" s="271">
        <f t="shared" si="125"/>
        <v>0</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58" priority="4" stopIfTrue="1" operator="notEqual">
      <formula>0</formula>
    </cfRule>
    <cfRule type="cellIs" dxfId="57" priority="5" stopIfTrue="1" operator="equal">
      <formula>""</formula>
    </cfRule>
  </conditionalFormatting>
  <conditionalFormatting sqref="F165">
    <cfRule type="cellIs" dxfId="56" priority="2" stopIfTrue="1" operator="notEqual">
      <formula>0</formula>
    </cfRule>
    <cfRule type="cellIs" dxfId="55" priority="3" stopIfTrue="1" operator="equal">
      <formula>""</formula>
    </cfRule>
  </conditionalFormatting>
  <conditionalFormatting sqref="J3:Z3">
    <cfRule type="cellIs" dxfId="54" priority="8" operator="equal">
      <formula>"Post-Fcst"</formula>
    </cfRule>
    <cfRule type="cellIs" dxfId="53" priority="9" operator="equal">
      <formula>"Forecast"</formula>
    </cfRule>
    <cfRule type="cellIs" dxfId="52" priority="10" operator="equal">
      <formula>"Pre Fcst"</formula>
    </cfRule>
  </conditionalFormatting>
  <conditionalFormatting sqref="J165:XFD165">
    <cfRule type="cellIs" dxfId="51" priority="6" stopIfTrue="1" operator="notEqual">
      <formula>0</formula>
    </cfRule>
    <cfRule type="cellIs" dxfId="50"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O7" activePane="bottomRight" state="frozen"/>
      <selection pane="topRight"/>
      <selection pane="bottomLeft"/>
      <selection pane="bottomRight" activeCell="E13" sqref="E13"/>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540.72799999999995</v>
      </c>
      <c r="N22" s="241">
        <f t="shared" si="3"/>
        <v>532.27540895045308</v>
      </c>
      <c r="O22" s="241">
        <f t="shared" si="3"/>
        <v>526.6918247041159</v>
      </c>
      <c r="P22" s="241">
        <f t="shared" si="3"/>
        <v>522.13882019618711</v>
      </c>
      <c r="Q22" s="241">
        <f t="shared" si="3"/>
        <v>517.87446041410328</v>
      </c>
      <c r="R22" s="241">
        <f t="shared" si="3"/>
        <v>513.64320140512518</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f>M22*M23</f>
        <v>13.104281255816934</v>
      </c>
      <c r="N24" s="184">
        <f t="shared" si="5"/>
        <v>15.747155852690183</v>
      </c>
      <c r="O24" s="184">
        <f t="shared" si="5"/>
        <v>16.593341318636007</v>
      </c>
      <c r="P24" s="184">
        <f t="shared" si="5"/>
        <v>16.709281730622465</v>
      </c>
      <c r="Q24" s="184">
        <f t="shared" si="5"/>
        <v>16.571018753658826</v>
      </c>
      <c r="R24" s="184">
        <f t="shared" si="5"/>
        <v>15.409925429730556</v>
      </c>
      <c r="S24" s="92"/>
      <c r="T24" s="92"/>
      <c r="U24" s="92"/>
      <c r="V24" s="92"/>
      <c r="W24" s="92"/>
      <c r="X24" s="92"/>
      <c r="Y24" s="92"/>
      <c r="Z24" s="92"/>
    </row>
    <row r="26" spans="1:16383" s="205" customFormat="1" x14ac:dyDescent="0.25">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3.8923105486887502E-2</v>
      </c>
      <c r="N26" s="205">
        <f xml:space="preserve"> InpR!N$95</f>
        <v>3.8923105486887502E-2</v>
      </c>
      <c r="O26" s="205">
        <f xml:space="preserve"> InpR!O$95</f>
        <v>3.8923105486887502E-2</v>
      </c>
      <c r="P26" s="205">
        <f xml:space="preserve"> InpR!P$95</f>
        <v>3.8923105486887502E-2</v>
      </c>
      <c r="Q26" s="205">
        <f xml:space="preserve"> InpR!Q$95</f>
        <v>3.8923105486887502E-2</v>
      </c>
      <c r="R26" s="205">
        <f xml:space="preserve"> InpR!R$95</f>
        <v>3.8923105486887502E-2</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540.72799999999995</v>
      </c>
      <c r="N27" s="241">
        <f t="shared" si="6"/>
        <v>532.27540895045308</v>
      </c>
      <c r="O27" s="241">
        <f t="shared" si="6"/>
        <v>526.6918247041159</v>
      </c>
      <c r="P27" s="241">
        <f t="shared" si="6"/>
        <v>522.13882019618711</v>
      </c>
      <c r="Q27" s="241">
        <f t="shared" si="6"/>
        <v>517.87446041410328</v>
      </c>
      <c r="R27" s="241">
        <f t="shared" si="6"/>
        <v>513.64320140512518</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13.104281255816934</v>
      </c>
      <c r="N28" s="184">
        <f t="shared" si="7"/>
        <v>15.747155852690183</v>
      </c>
      <c r="O28" s="184">
        <f t="shared" si="7"/>
        <v>16.593341318636007</v>
      </c>
      <c r="P28" s="184">
        <f t="shared" si="7"/>
        <v>16.709281730622465</v>
      </c>
      <c r="Q28" s="184">
        <f t="shared" si="7"/>
        <v>16.571018753658826</v>
      </c>
      <c r="R28" s="184">
        <f t="shared" si="7"/>
        <v>15.409925429730556</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f t="shared" si="8"/>
        <v>21.556872305363708</v>
      </c>
      <c r="N29" s="184">
        <f t="shared" si="8"/>
        <v>21.330740099027388</v>
      </c>
      <c r="O29" s="184">
        <f t="shared" si="8"/>
        <v>21.146345826564762</v>
      </c>
      <c r="P29" s="184">
        <f t="shared" si="8"/>
        <v>20.973641512706319</v>
      </c>
      <c r="Q29" s="184">
        <f t="shared" si="8"/>
        <v>20.80227776263694</v>
      </c>
      <c r="R29" s="184">
        <f t="shared" si="8"/>
        <v>20.592390663960764</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InpR!$E$88</f>
        <v>RCV - CPI(H) + RPI wedge initial balance - nominal - WN</v>
      </c>
      <c r="F31" s="250">
        <f>InpR!$F$88</f>
        <v>540.72799999999995</v>
      </c>
      <c r="G31" s="250" t="str">
        <f>InpR!$G$88</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f t="shared" si="9"/>
        <v>540.72799999999995</v>
      </c>
      <c r="N34" s="242">
        <f t="shared" si="9"/>
        <v>532.27540895045308</v>
      </c>
      <c r="O34" s="242">
        <f t="shared" si="9"/>
        <v>526.6918247041159</v>
      </c>
      <c r="P34" s="242">
        <f t="shared" si="9"/>
        <v>522.13882019618711</v>
      </c>
      <c r="Q34" s="242">
        <f t="shared" si="9"/>
        <v>517.87446041410328</v>
      </c>
      <c r="R34" s="242">
        <f t="shared" si="9"/>
        <v>513.64320140512518</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13.104281255816934</v>
      </c>
      <c r="N35" s="242">
        <f t="shared" si="10"/>
        <v>15.747155852690183</v>
      </c>
      <c r="O35" s="242">
        <f t="shared" si="10"/>
        <v>16.593341318636007</v>
      </c>
      <c r="P35" s="242">
        <f t="shared" si="10"/>
        <v>16.709281730622465</v>
      </c>
      <c r="Q35" s="242">
        <f t="shared" si="10"/>
        <v>16.571018753658826</v>
      </c>
      <c r="R35" s="242">
        <f t="shared" si="10"/>
        <v>15.409925429730556</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21.556872305363708</v>
      </c>
      <c r="N36" s="242">
        <f t="shared" si="11"/>
        <v>21.330740099027388</v>
      </c>
      <c r="O36" s="242">
        <f t="shared" si="11"/>
        <v>21.146345826564762</v>
      </c>
      <c r="P36" s="242">
        <f t="shared" si="11"/>
        <v>20.973641512706319</v>
      </c>
      <c r="Q36" s="242">
        <f t="shared" si="11"/>
        <v>20.80227776263694</v>
      </c>
      <c r="R36" s="242">
        <f t="shared" si="11"/>
        <v>20.592390663960764</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f t="shared" si="12"/>
        <v>540.72799999999995</v>
      </c>
      <c r="M37" s="243">
        <f t="shared" si="12"/>
        <v>532.27540895045308</v>
      </c>
      <c r="N37" s="243">
        <f t="shared" si="12"/>
        <v>526.6918247041159</v>
      </c>
      <c r="O37" s="243">
        <f t="shared" si="12"/>
        <v>522.13882019618711</v>
      </c>
      <c r="P37" s="243">
        <f t="shared" si="12"/>
        <v>517.87446041410328</v>
      </c>
      <c r="Q37" s="243">
        <f t="shared" si="12"/>
        <v>513.64320140512518</v>
      </c>
      <c r="R37" s="243">
        <f t="shared" si="12"/>
        <v>508.46073617089502</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540.72799999999995</v>
      </c>
      <c r="N39" s="185">
        <f t="shared" si="13"/>
        <v>532.27540895045308</v>
      </c>
      <c r="O39" s="185">
        <f t="shared" si="13"/>
        <v>526.6918247041159</v>
      </c>
      <c r="P39" s="185">
        <f t="shared" si="13"/>
        <v>522.13882019618711</v>
      </c>
      <c r="Q39" s="185">
        <f t="shared" si="13"/>
        <v>517.87446041410328</v>
      </c>
      <c r="R39" s="185">
        <f t="shared" si="13"/>
        <v>513.64320140512518</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13.104281255816934</v>
      </c>
      <c r="N40" s="242">
        <f t="shared" si="14"/>
        <v>15.747155852690183</v>
      </c>
      <c r="O40" s="242">
        <f t="shared" si="14"/>
        <v>16.593341318636007</v>
      </c>
      <c r="P40" s="242">
        <f t="shared" si="14"/>
        <v>16.709281730622465</v>
      </c>
      <c r="Q40" s="242">
        <f t="shared" si="14"/>
        <v>16.571018753658826</v>
      </c>
      <c r="R40" s="242">
        <f t="shared" si="14"/>
        <v>15.409925429730556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540.72799999999995</v>
      </c>
      <c r="M41" s="185">
        <f t="shared" si="15"/>
        <v>532.27540895045308</v>
      </c>
      <c r="N41" s="185">
        <f t="shared" si="15"/>
        <v>526.6918247041159</v>
      </c>
      <c r="O41" s="185">
        <f t="shared" si="15"/>
        <v>522.13882019618711</v>
      </c>
      <c r="P41" s="185">
        <f t="shared" si="15"/>
        <v>517.87446041410328</v>
      </c>
      <c r="Q41" s="185">
        <f t="shared" si="15"/>
        <v>513.64320140512518</v>
      </c>
      <c r="R41" s="185">
        <f t="shared" si="15"/>
        <v>508.46073617089502</v>
      </c>
    </row>
    <row r="42" spans="1:26" s="92" customFormat="1" x14ac:dyDescent="0.25">
      <c r="A42" s="164"/>
      <c r="B42" s="165"/>
      <c r="C42" s="166"/>
      <c r="D42" s="167"/>
      <c r="E42" s="92" t="s">
        <v>357</v>
      </c>
      <c r="G42" s="92" t="s">
        <v>235</v>
      </c>
      <c r="J42" s="185">
        <f t="shared" ref="J42:L42" si="16" xml:space="preserve"> ( (J39+J40) + J41) / 2</f>
        <v>0</v>
      </c>
      <c r="K42" s="185">
        <f t="shared" si="16"/>
        <v>0</v>
      </c>
      <c r="L42" s="185">
        <f t="shared" si="16"/>
        <v>270.36399999999998</v>
      </c>
      <c r="M42" s="185">
        <f xml:space="preserve"> ( (M39+M40) + M41) / 2</f>
        <v>543.05384510313502</v>
      </c>
      <c r="N42" s="185">
        <f t="shared" ref="N42:R42" si="17" xml:space="preserve"> ( (N39+N40) + N41) / 2</f>
        <v>537.35719475362953</v>
      </c>
      <c r="O42" s="185">
        <f t="shared" si="17"/>
        <v>532.71199310946952</v>
      </c>
      <c r="P42" s="185">
        <f t="shared" si="17"/>
        <v>528.36128117045644</v>
      </c>
      <c r="Q42" s="185">
        <f t="shared" si="17"/>
        <v>524.04434028644368</v>
      </c>
      <c r="R42" s="185">
        <f t="shared" si="17"/>
        <v>518.75693150287543</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1.9199999999999998E-2</v>
      </c>
      <c r="N45" s="205">
        <f xml:space="preserve"> InpR!N$102</f>
        <v>1.9199999999999998E-2</v>
      </c>
      <c r="O45" s="205">
        <f xml:space="preserve"> InpR!O$102</f>
        <v>1.9199999999999998E-2</v>
      </c>
      <c r="P45" s="205">
        <f xml:space="preserve"> InpR!P$102</f>
        <v>1.9199999999999998E-2</v>
      </c>
      <c r="Q45" s="205">
        <f xml:space="preserve"> InpR!Q$102</f>
        <v>1.9199999999999998E-2</v>
      </c>
      <c r="R45" s="205">
        <f xml:space="preserve"> InpR!R$102</f>
        <v>1.9199999999999998E-2</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270.36399999999998</v>
      </c>
      <c r="M47" s="184">
        <f t="shared" si="18"/>
        <v>543.05384510313502</v>
      </c>
      <c r="N47" s="184">
        <f t="shared" si="18"/>
        <v>537.35719475362953</v>
      </c>
      <c r="O47" s="184">
        <f t="shared" si="18"/>
        <v>532.71199310946952</v>
      </c>
      <c r="P47" s="184">
        <f t="shared" si="18"/>
        <v>528.36128117045644</v>
      </c>
      <c r="Q47" s="184">
        <f t="shared" si="18"/>
        <v>524.04434028644368</v>
      </c>
      <c r="R47" s="184">
        <f t="shared" si="18"/>
        <v>518.75693150287543</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f>L45*L47*L46</f>
        <v>0</v>
      </c>
      <c r="M48" s="184">
        <f>M45*M47*M46</f>
        <v>10.426633825980192</v>
      </c>
      <c r="N48" s="184">
        <f t="shared" ref="N48:R48" si="20">N45*N47*N46</f>
        <v>10.317258139269686</v>
      </c>
      <c r="O48" s="184">
        <f t="shared" si="20"/>
        <v>10.228070267701813</v>
      </c>
      <c r="P48" s="184">
        <f t="shared" si="20"/>
        <v>10.144536598472763</v>
      </c>
      <c r="Q48" s="184">
        <f t="shared" si="20"/>
        <v>10.061651333499718</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21.556872305363708</v>
      </c>
      <c r="N51" s="184">
        <f t="shared" si="21"/>
        <v>21.330740099027388</v>
      </c>
      <c r="O51" s="184">
        <f t="shared" si="21"/>
        <v>21.146345826564762</v>
      </c>
      <c r="P51" s="184">
        <f t="shared" si="21"/>
        <v>20.973641512706319</v>
      </c>
      <c r="Q51" s="184">
        <f t="shared" si="21"/>
        <v>20.80227776263694</v>
      </c>
      <c r="R51" s="184">
        <f t="shared" si="21"/>
        <v>20.592390663960764</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10.426633825980192</v>
      </c>
      <c r="N52" s="184">
        <f t="shared" si="22"/>
        <v>10.317258139269686</v>
      </c>
      <c r="O52" s="184">
        <f t="shared" si="22"/>
        <v>10.228070267701813</v>
      </c>
      <c r="P52" s="184">
        <f t="shared" si="22"/>
        <v>10.144536598472763</v>
      </c>
      <c r="Q52" s="184">
        <f t="shared" si="22"/>
        <v>10.061651333499718</v>
      </c>
      <c r="R52" s="184">
        <f t="shared" si="22"/>
        <v>0</v>
      </c>
      <c r="S52" s="92"/>
      <c r="T52" s="92"/>
      <c r="U52" s="92"/>
      <c r="V52" s="92"/>
      <c r="W52" s="92"/>
      <c r="X52" s="92"/>
      <c r="Y52" s="92"/>
      <c r="Z52" s="92"/>
    </row>
    <row r="53" spans="1:26" s="91" customFormat="1" x14ac:dyDescent="0.25">
      <c r="A53" s="170"/>
      <c r="B53" s="165"/>
      <c r="C53" s="166"/>
      <c r="D53" s="171"/>
      <c r="E53" s="172" t="s">
        <v>361</v>
      </c>
      <c r="G53" s="91" t="str">
        <f xml:space="preserve"> G$48</f>
        <v>£m</v>
      </c>
      <c r="H53" s="184">
        <f>SUM(J53:R53)</f>
        <v>177.58041833518405</v>
      </c>
      <c r="I53" s="184"/>
      <c r="J53" s="184">
        <f t="shared" ref="J53:R53" si="23">SUM(J51:J52)</f>
        <v>0</v>
      </c>
      <c r="K53" s="184">
        <f t="shared" si="23"/>
        <v>0</v>
      </c>
      <c r="L53" s="184">
        <f>SUM(L51:L52)</f>
        <v>0</v>
      </c>
      <c r="M53" s="185">
        <f t="shared" si="23"/>
        <v>31.983506131343901</v>
      </c>
      <c r="N53" s="185">
        <f t="shared" si="23"/>
        <v>31.647998238297074</v>
      </c>
      <c r="O53" s="184">
        <f t="shared" si="23"/>
        <v>31.374416094266575</v>
      </c>
      <c r="P53" s="184">
        <f t="shared" si="23"/>
        <v>31.118178111179084</v>
      </c>
      <c r="Q53" s="184">
        <f t="shared" si="23"/>
        <v>30.863929096136658</v>
      </c>
      <c r="R53" s="184">
        <f t="shared" si="23"/>
        <v>20.592390663960764</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f t="shared" si="24"/>
        <v>0</v>
      </c>
      <c r="M61" s="184">
        <f t="shared" si="24"/>
        <v>31.983506131343901</v>
      </c>
      <c r="N61" s="184">
        <f t="shared" si="24"/>
        <v>31.647998238297074</v>
      </c>
      <c r="O61" s="184">
        <f t="shared" si="24"/>
        <v>31.374416094266575</v>
      </c>
      <c r="P61" s="184">
        <f t="shared" si="24"/>
        <v>31.118178111179084</v>
      </c>
      <c r="Q61" s="184">
        <f t="shared" si="24"/>
        <v>30.863929096136658</v>
      </c>
      <c r="R61" s="184">
        <f t="shared" si="24"/>
        <v>20.592390663960764</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3.5095772489963428E-2</v>
      </c>
      <c r="Q69" s="205">
        <f>Index!Q$135</f>
        <v>1.0811774265832685E-2</v>
      </c>
      <c r="R69" s="205">
        <f>Index!R$135</f>
        <v>3.0969307070667251E-2</v>
      </c>
    </row>
    <row r="70" spans="1:16383" s="172" customFormat="1" x14ac:dyDescent="0.25">
      <c r="A70" s="173"/>
      <c r="B70" s="174"/>
      <c r="C70" s="175"/>
      <c r="D70" s="176"/>
      <c r="E70" s="172" t="s">
        <v>370</v>
      </c>
      <c r="J70" s="172">
        <f t="shared" ref="J70" si="25">SUM(J68:J69)</f>
        <v>0</v>
      </c>
      <c r="K70" s="172">
        <f t="shared" ref="K70" si="26">SUM(K68:K69)</f>
        <v>-2.1269790500559882E-2</v>
      </c>
      <c r="L70" s="172">
        <f t="shared" ref="L70" si="27">SUM(L68:L69)</f>
        <v>2.8797258238948187E-2</v>
      </c>
      <c r="M70" s="172">
        <f>SUM(M68:M69)</f>
        <v>2.050500588648263E-2</v>
      </c>
      <c r="N70" s="172">
        <f t="shared" ref="N70" si="28">SUM(N68:N69)</f>
        <v>4.1078297594817625E-2</v>
      </c>
      <c r="O70" s="172">
        <f t="shared" ref="O70" si="29">SUM(O68:O69)</f>
        <v>6.1771645653908358E-2</v>
      </c>
      <c r="P70" s="172">
        <f t="shared" ref="P70" si="30">SUM(P68:P69)</f>
        <v>5.6068271839316841E-2</v>
      </c>
      <c r="Q70" s="172">
        <f t="shared" ref="Q70" si="31">SUM(Q68:Q69)</f>
        <v>3.1820802412407367E-2</v>
      </c>
      <c r="R70" s="172">
        <f t="shared" ref="R70" si="32">SUM(R68:R69)</f>
        <v>5.0963481504755381E-2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540.72799999999995</v>
      </c>
      <c r="N73" s="241">
        <f t="shared" si="33"/>
        <v>530.33725281514944</v>
      </c>
      <c r="O73" s="241">
        <f t="shared" si="33"/>
        <v>530.63227794258069</v>
      </c>
      <c r="P73" s="241">
        <f t="shared" si="33"/>
        <v>541.4806281768756</v>
      </c>
      <c r="Q73" s="241">
        <f t="shared" si="33"/>
        <v>549.58270269281434</v>
      </c>
      <c r="R73" s="241">
        <f t="shared" si="33"/>
        <v>544.99870617647082</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2.8797258238948187E-2</v>
      </c>
      <c r="M74" s="172">
        <f t="shared" si="34"/>
        <v>2.050500588648263E-2</v>
      </c>
      <c r="N74" s="172">
        <f t="shared" si="34"/>
        <v>4.1078297594817625E-2</v>
      </c>
      <c r="O74" s="172">
        <f t="shared" si="34"/>
        <v>6.1771645653908358E-2</v>
      </c>
      <c r="P74" s="172">
        <f t="shared" si="34"/>
        <v>5.6068271839316841E-2</v>
      </c>
      <c r="Q74" s="172">
        <f t="shared" si="34"/>
        <v>3.1820802412407367E-2</v>
      </c>
      <c r="R74" s="172">
        <f t="shared" si="34"/>
        <v>5.0963481504755381E-2</v>
      </c>
      <c r="S74" s="177"/>
      <c r="T74" s="177"/>
      <c r="U74" s="177"/>
      <c r="V74" s="177"/>
      <c r="W74" s="177"/>
      <c r="X74" s="177"/>
      <c r="Y74" s="177"/>
      <c r="Z74" s="177"/>
    </row>
    <row r="75" spans="1:16383" x14ac:dyDescent="0.25">
      <c r="E75" s="7" t="s">
        <v>372</v>
      </c>
      <c r="G75" s="162" t="s">
        <v>235</v>
      </c>
      <c r="J75" s="184">
        <f t="shared" ref="J75:L75" si="35">J73*J74</f>
        <v>0</v>
      </c>
      <c r="K75" s="184">
        <f t="shared" si="35"/>
        <v>0</v>
      </c>
      <c r="L75" s="184">
        <f t="shared" si="35"/>
        <v>0</v>
      </c>
      <c r="M75" s="184">
        <f>M73*M74</f>
        <v>11.087630822985979</v>
      </c>
      <c r="N75" s="184">
        <f t="shared" ref="N75:R75" si="36">N73*N74</f>
        <v>21.785351496758739</v>
      </c>
      <c r="O75" s="184">
        <f t="shared" si="36"/>
        <v>32.778029045595304</v>
      </c>
      <c r="P75" s="184">
        <f t="shared" si="36"/>
        <v>30.359883056345108</v>
      </c>
      <c r="Q75" s="184">
        <f t="shared" si="36"/>
        <v>17.488162591664867</v>
      </c>
      <c r="R75" s="184">
        <f t="shared" si="36"/>
        <v>27.775031482340182</v>
      </c>
    </row>
    <row r="77" spans="1:16383" s="205" customFormat="1" x14ac:dyDescent="0.25">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3.8923105486887502E-2</v>
      </c>
      <c r="N77" s="205">
        <f xml:space="preserve"> InpR!N$95</f>
        <v>3.8923105486887502E-2</v>
      </c>
      <c r="O77" s="205">
        <f xml:space="preserve"> InpR!O$95</f>
        <v>3.8923105486887502E-2</v>
      </c>
      <c r="P77" s="205">
        <f xml:space="preserve"> InpR!P$95</f>
        <v>3.8923105486887502E-2</v>
      </c>
      <c r="Q77" s="205">
        <f xml:space="preserve"> InpR!Q$95</f>
        <v>3.8923105486887502E-2</v>
      </c>
      <c r="R77" s="205">
        <f xml:space="preserve"> InpR!R$95</f>
        <v>3.8923105486887502E-2</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540.72799999999995</v>
      </c>
      <c r="N78" s="241">
        <f t="shared" si="37"/>
        <v>530.33725281514944</v>
      </c>
      <c r="O78" s="241">
        <f t="shared" si="37"/>
        <v>530.63227794258069</v>
      </c>
      <c r="P78" s="241">
        <f t="shared" si="37"/>
        <v>541.4806281768756</v>
      </c>
      <c r="Q78" s="241">
        <f t="shared" si="37"/>
        <v>549.58270269281434</v>
      </c>
      <c r="R78" s="241">
        <f t="shared" si="37"/>
        <v>544.99870617647082</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11.087630822985979</v>
      </c>
      <c r="N79" s="184">
        <f t="shared" si="38"/>
        <v>21.785351496758739</v>
      </c>
      <c r="O79" s="184">
        <f t="shared" si="38"/>
        <v>32.778029045595304</v>
      </c>
      <c r="P79" s="184">
        <f t="shared" si="38"/>
        <v>30.359883056345108</v>
      </c>
      <c r="Q79" s="184">
        <f t="shared" si="38"/>
        <v>17.488162591664867</v>
      </c>
      <c r="R79" s="184">
        <f t="shared" si="38"/>
        <v>27.775031482340182</v>
      </c>
    </row>
    <row r="80" spans="1:16383" x14ac:dyDescent="0.25">
      <c r="E80" s="7" t="s">
        <v>373</v>
      </c>
      <c r="F80" s="244"/>
      <c r="G80" s="244" t="s">
        <v>235</v>
      </c>
      <c r="H80" s="244"/>
      <c r="I80" s="244"/>
      <c r="J80" s="184">
        <f t="shared" ref="J80" si="39" xml:space="preserve"> (J78+J79) * J77</f>
        <v>0</v>
      </c>
      <c r="K80" s="184">
        <f t="shared" ref="K80" si="40" xml:space="preserve"> (K78+K79) * K77</f>
        <v>0</v>
      </c>
      <c r="L80" s="184">
        <f t="shared" ref="L80:R80" si="41" xml:space="preserve"> (L78+L79) * L77</f>
        <v>0</v>
      </c>
      <c r="M80" s="184">
        <f t="shared" si="41"/>
        <v>21.478378007836451</v>
      </c>
      <c r="N80" s="184">
        <f xml:space="preserve"> (N78+N79) * N77</f>
        <v>21.490326369327448</v>
      </c>
      <c r="O80" s="184">
        <f t="shared" si="41"/>
        <v>21.929678811300445</v>
      </c>
      <c r="P80" s="184">
        <f t="shared" si="41"/>
        <v>22.257808540406327</v>
      </c>
      <c r="Q80" s="184">
        <f t="shared" si="41"/>
        <v>22.072159108008353</v>
      </c>
      <c r="R80" s="184">
        <f t="shared" si="41"/>
        <v>22.294132611012728</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InpR!$E$88</f>
        <v>RCV - CPI(H) + RPI wedge initial balance - nominal - WN</v>
      </c>
      <c r="F82" s="250">
        <f>InpR!$F$88</f>
        <v>540.72799999999995</v>
      </c>
      <c r="G82" s="250" t="str">
        <f>InpR!$G$88</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 si="42" xml:space="preserve"> I88</f>
        <v>0</v>
      </c>
      <c r="K85" s="242">
        <f t="shared" ref="K85" si="43" xml:space="preserve"> J88</f>
        <v>0</v>
      </c>
      <c r="L85" s="242">
        <f t="shared" ref="L85" si="44" xml:space="preserve"> K88</f>
        <v>0</v>
      </c>
      <c r="M85" s="242">
        <f t="shared" ref="M85" si="45" xml:space="preserve"> L88</f>
        <v>540.72799999999995</v>
      </c>
      <c r="N85" s="242">
        <f t="shared" ref="N85" si="46" xml:space="preserve"> M88</f>
        <v>530.33725281514944</v>
      </c>
      <c r="O85" s="242">
        <f t="shared" ref="O85" si="47" xml:space="preserve"> N88</f>
        <v>530.63227794258069</v>
      </c>
      <c r="P85" s="242">
        <f t="shared" ref="P85" si="48" xml:space="preserve"> O88</f>
        <v>541.4806281768756</v>
      </c>
      <c r="Q85" s="242">
        <f t="shared" ref="Q85" si="49" xml:space="preserve"> P88</f>
        <v>549.58270269281434</v>
      </c>
      <c r="R85" s="242">
        <f t="shared" ref="R85" si="50" xml:space="preserve"> Q88</f>
        <v>544.99870617647082</v>
      </c>
    </row>
    <row r="86" spans="1:18" x14ac:dyDescent="0.25">
      <c r="A86" s="47"/>
      <c r="B86" s="51"/>
      <c r="C86" s="111"/>
      <c r="D86" s="56" t="s">
        <v>354</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11.087630822985979</v>
      </c>
      <c r="N86" s="242">
        <f t="shared" si="51"/>
        <v>21.785351496758739</v>
      </c>
      <c r="O86" s="242">
        <f t="shared" si="51"/>
        <v>32.778029045595304</v>
      </c>
      <c r="P86" s="242">
        <f t="shared" si="51"/>
        <v>30.359883056345108</v>
      </c>
      <c r="Q86" s="242">
        <f t="shared" si="51"/>
        <v>17.488162591664867</v>
      </c>
      <c r="R86" s="242">
        <f t="shared" si="51"/>
        <v>27.775031482340182</v>
      </c>
    </row>
    <row r="87" spans="1:18" x14ac:dyDescent="0.25">
      <c r="A87" s="47"/>
      <c r="B87" s="51"/>
      <c r="C87" s="111"/>
      <c r="D87" s="56" t="s">
        <v>355</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21.478378007836451</v>
      </c>
      <c r="N87" s="242">
        <f t="shared" si="52"/>
        <v>21.490326369327448</v>
      </c>
      <c r="O87" s="242">
        <f t="shared" si="52"/>
        <v>21.929678811300445</v>
      </c>
      <c r="P87" s="242">
        <f t="shared" si="52"/>
        <v>22.257808540406327</v>
      </c>
      <c r="Q87" s="242">
        <f t="shared" si="52"/>
        <v>22.072159108008353</v>
      </c>
      <c r="R87" s="242">
        <f t="shared" si="52"/>
        <v>22.294132611012728</v>
      </c>
    </row>
    <row r="88" spans="1:18" s="138" customFormat="1" x14ac:dyDescent="0.25">
      <c r="A88" s="134"/>
      <c r="B88" s="135"/>
      <c r="C88" s="136"/>
      <c r="D88" s="137"/>
      <c r="E88" s="138" t="s">
        <v>375</v>
      </c>
      <c r="G88" s="163" t="s">
        <v>235</v>
      </c>
      <c r="J88" s="243">
        <f t="shared" ref="J88:R88" si="53" xml:space="preserve"> IF( J83 = 1, $F82, J85 + J86 - J87)</f>
        <v>0</v>
      </c>
      <c r="K88" s="243">
        <f t="shared" si="53"/>
        <v>0</v>
      </c>
      <c r="L88" s="243">
        <f t="shared" si="53"/>
        <v>540.72799999999995</v>
      </c>
      <c r="M88" s="243">
        <f t="shared" si="53"/>
        <v>530.33725281514944</v>
      </c>
      <c r="N88" s="243">
        <f t="shared" si="53"/>
        <v>530.63227794258069</v>
      </c>
      <c r="O88" s="243">
        <f t="shared" si="53"/>
        <v>541.4806281768756</v>
      </c>
      <c r="P88" s="243">
        <f t="shared" si="53"/>
        <v>549.58270269281434</v>
      </c>
      <c r="Q88" s="243">
        <f t="shared" si="53"/>
        <v>544.99870617647082</v>
      </c>
      <c r="R88" s="243">
        <f t="shared" si="53"/>
        <v>550.47960504779826</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540.72799999999995</v>
      </c>
      <c r="N90" s="185">
        <f t="shared" si="54"/>
        <v>530.33725281514944</v>
      </c>
      <c r="O90" s="185">
        <f t="shared" si="54"/>
        <v>530.63227794258069</v>
      </c>
      <c r="P90" s="185">
        <f t="shared" si="54"/>
        <v>541.4806281768756</v>
      </c>
      <c r="Q90" s="185">
        <f t="shared" si="54"/>
        <v>549.58270269281434</v>
      </c>
      <c r="R90" s="185">
        <f t="shared" si="54"/>
        <v>544.99870617647082</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11.087630822985979</v>
      </c>
      <c r="N91" s="242">
        <f t="shared" si="55"/>
        <v>21.785351496758739</v>
      </c>
      <c r="O91" s="242">
        <f t="shared" si="55"/>
        <v>32.778029045595304</v>
      </c>
      <c r="P91" s="242">
        <f t="shared" si="55"/>
        <v>30.359883056345108</v>
      </c>
      <c r="Q91" s="242">
        <f t="shared" si="55"/>
        <v>17.488162591664867</v>
      </c>
      <c r="R91" s="242">
        <f t="shared" si="55"/>
        <v>27.775031482340182</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540.72799999999995</v>
      </c>
      <c r="M92" s="185">
        <f t="shared" si="56"/>
        <v>530.33725281514944</v>
      </c>
      <c r="N92" s="185">
        <f t="shared" si="56"/>
        <v>530.63227794258069</v>
      </c>
      <c r="O92" s="185">
        <f t="shared" si="56"/>
        <v>541.4806281768756</v>
      </c>
      <c r="P92" s="185">
        <f t="shared" si="56"/>
        <v>549.58270269281434</v>
      </c>
      <c r="Q92" s="185">
        <f t="shared" si="56"/>
        <v>544.99870617647082</v>
      </c>
      <c r="R92" s="185">
        <f t="shared" si="56"/>
        <v>550.47960504779826</v>
      </c>
    </row>
    <row r="93" spans="1:18" x14ac:dyDescent="0.25">
      <c r="A93" s="49"/>
      <c r="D93" s="57"/>
      <c r="E93" s="7" t="s">
        <v>376</v>
      </c>
      <c r="G93" s="92" t="s">
        <v>235</v>
      </c>
      <c r="H93" s="244"/>
      <c r="I93" s="244"/>
      <c r="J93" s="185">
        <f t="shared" ref="J93" si="57" xml:space="preserve"> ( (J90+J91) + J92) / 2</f>
        <v>0</v>
      </c>
      <c r="K93" s="185">
        <f t="shared" ref="K93" si="58" xml:space="preserve"> ( (K90+K91) + K92) / 2</f>
        <v>0</v>
      </c>
      <c r="L93" s="185">
        <f xml:space="preserve"> ( (L90+L91) + L92) / 2</f>
        <v>270.36399999999998</v>
      </c>
      <c r="M93" s="185">
        <f xml:space="preserve"> ( (M90+M91) + M92) / 2</f>
        <v>541.07644181906767</v>
      </c>
      <c r="N93" s="185">
        <f t="shared" ref="N93" si="59" xml:space="preserve"> ( (N90+N91) + N92) / 2</f>
        <v>541.37744112724442</v>
      </c>
      <c r="O93" s="185">
        <f t="shared" ref="O93" si="60" xml:space="preserve"> ( (O90+O91) + O92) / 2</f>
        <v>552.44546758252579</v>
      </c>
      <c r="P93" s="185">
        <f t="shared" ref="P93" si="61" xml:space="preserve"> ( (P90+P91) + P92) / 2</f>
        <v>560.71160696301752</v>
      </c>
      <c r="Q93" s="185">
        <f xml:space="preserve"> ( (Q90+Q91) + Q92) / 2</f>
        <v>556.03478573047505</v>
      </c>
      <c r="R93" s="185">
        <f t="shared" ref="R93" si="62" xml:space="preserve"> ( (R90+R91) + R92) / 2</f>
        <v>561.62667135330457</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1.9199999999999998E-2</v>
      </c>
      <c r="N96" s="205">
        <f xml:space="preserve"> InpR!N$102</f>
        <v>1.9199999999999998E-2</v>
      </c>
      <c r="O96" s="205">
        <f xml:space="preserve"> InpR!O$102</f>
        <v>1.9199999999999998E-2</v>
      </c>
      <c r="P96" s="205">
        <f xml:space="preserve"> InpR!P$102</f>
        <v>1.9199999999999998E-2</v>
      </c>
      <c r="Q96" s="205">
        <f xml:space="preserve"> InpR!Q$102</f>
        <v>1.9199999999999998E-2</v>
      </c>
      <c r="R96" s="205">
        <f xml:space="preserve"> InpR!R$102</f>
        <v>1.9199999999999998E-2</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270.36399999999998</v>
      </c>
      <c r="M98" s="184">
        <f t="shared" si="63"/>
        <v>541.07644181906767</v>
      </c>
      <c r="N98" s="184">
        <f t="shared" si="63"/>
        <v>541.37744112724442</v>
      </c>
      <c r="O98" s="184">
        <f t="shared" si="63"/>
        <v>552.44546758252579</v>
      </c>
      <c r="P98" s="184">
        <f t="shared" si="63"/>
        <v>560.71160696301752</v>
      </c>
      <c r="Q98" s="184">
        <f t="shared" si="63"/>
        <v>556.03478573047505</v>
      </c>
      <c r="R98" s="184">
        <f t="shared" si="63"/>
        <v>561.62667135330457</v>
      </c>
    </row>
    <row r="99" spans="1:26" x14ac:dyDescent="0.25">
      <c r="E99" s="7" t="s">
        <v>378</v>
      </c>
      <c r="F99" s="244"/>
      <c r="G99" s="184" t="s">
        <v>235</v>
      </c>
      <c r="H99" s="244"/>
      <c r="I99" s="244"/>
      <c r="J99" s="244">
        <f t="shared" ref="J99:K99" si="64">J96*J97*J98</f>
        <v>0</v>
      </c>
      <c r="K99" s="244">
        <f t="shared" si="64"/>
        <v>0</v>
      </c>
      <c r="L99" s="244">
        <f>L96*L97*L98</f>
        <v>0</v>
      </c>
      <c r="M99" s="244">
        <f>M96*M97*M98</f>
        <v>10.388667682926098</v>
      </c>
      <c r="N99" s="244">
        <f t="shared" ref="N99:R99" si="65">N96*N97*N98</f>
        <v>10.394446869643092</v>
      </c>
      <c r="O99" s="244">
        <f t="shared" si="65"/>
        <v>10.606952977584495</v>
      </c>
      <c r="P99" s="244">
        <f t="shared" si="65"/>
        <v>10.765662853689935</v>
      </c>
      <c r="Q99" s="244">
        <f t="shared" si="65"/>
        <v>10.67586788602512</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540.72799999999995</v>
      </c>
      <c r="M102" s="185">
        <f t="shared" si="66"/>
        <v>530.33725281514944</v>
      </c>
      <c r="N102" s="185">
        <f t="shared" si="66"/>
        <v>530.63227794258069</v>
      </c>
      <c r="O102" s="185">
        <f t="shared" si="66"/>
        <v>541.4806281768756</v>
      </c>
      <c r="P102" s="185">
        <f t="shared" si="66"/>
        <v>549.58270269281434</v>
      </c>
      <c r="Q102" s="185">
        <f t="shared" si="66"/>
        <v>544.99870617647082</v>
      </c>
      <c r="R102" s="185">
        <f t="shared" si="66"/>
        <v>550.47960504779826</v>
      </c>
    </row>
    <row r="103" spans="1:26" x14ac:dyDescent="0.25">
      <c r="C103" s="278"/>
      <c r="E103" s="7" t="s">
        <v>379</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544.99870617647082</v>
      </c>
      <c r="R103" s="184">
        <f t="shared" ref="R103" si="74">R102 * R101</f>
        <v>0</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21.478378007836451</v>
      </c>
      <c r="N106" s="184">
        <f t="shared" si="75"/>
        <v>21.490326369327448</v>
      </c>
      <c r="O106" s="184">
        <f t="shared" si="75"/>
        <v>21.929678811300445</v>
      </c>
      <c r="P106" s="184">
        <f t="shared" si="75"/>
        <v>22.257808540406327</v>
      </c>
      <c r="Q106" s="184">
        <f t="shared" si="75"/>
        <v>22.072159108008353</v>
      </c>
      <c r="R106" s="184">
        <f t="shared" si="75"/>
        <v>22.294132611012728</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10.388667682926098</v>
      </c>
      <c r="N107" s="184">
        <f t="shared" si="76"/>
        <v>10.394446869643092</v>
      </c>
      <c r="O107" s="184">
        <f t="shared" si="76"/>
        <v>10.606952977584495</v>
      </c>
      <c r="P107" s="184">
        <f t="shared" si="76"/>
        <v>10.765662853689935</v>
      </c>
      <c r="Q107" s="184">
        <f t="shared" si="76"/>
        <v>10.67586788602512</v>
      </c>
      <c r="R107" s="184">
        <f t="shared" si="76"/>
        <v>0</v>
      </c>
      <c r="S107" s="92"/>
      <c r="T107" s="92"/>
      <c r="U107" s="92"/>
      <c r="V107" s="92"/>
      <c r="W107" s="92"/>
      <c r="X107" s="92"/>
      <c r="Y107" s="92"/>
      <c r="Z107" s="92"/>
    </row>
    <row r="108" spans="1:26" x14ac:dyDescent="0.25">
      <c r="E108" s="7" t="s">
        <v>381</v>
      </c>
      <c r="F108" s="244"/>
      <c r="G108" s="184" t="str">
        <f t="shared" si="76"/>
        <v>£m</v>
      </c>
      <c r="H108" s="244">
        <f>SUM(J108:R108)</f>
        <v>184.35408171776049</v>
      </c>
      <c r="I108" s="244"/>
      <c r="J108" s="244">
        <f t="shared" ref="J108:R108" si="77">SUM(J106:J107)</f>
        <v>0</v>
      </c>
      <c r="K108" s="244">
        <f t="shared" si="77"/>
        <v>0</v>
      </c>
      <c r="L108" s="244">
        <f t="shared" si="77"/>
        <v>0</v>
      </c>
      <c r="M108" s="244">
        <f t="shared" si="77"/>
        <v>31.867045690762549</v>
      </c>
      <c r="N108" s="244">
        <f t="shared" si="77"/>
        <v>31.884773238970539</v>
      </c>
      <c r="O108" s="244">
        <f t="shared" si="77"/>
        <v>32.536631788884939</v>
      </c>
      <c r="P108" s="244">
        <f t="shared" si="77"/>
        <v>33.023471394096262</v>
      </c>
      <c r="Q108" s="244">
        <f t="shared" si="77"/>
        <v>32.748026994033474</v>
      </c>
      <c r="R108" s="244">
        <f t="shared" si="77"/>
        <v>22.294132611012728</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31.983506131343901</v>
      </c>
      <c r="N114" s="184">
        <f t="shared" si="78"/>
        <v>31.647998238297074</v>
      </c>
      <c r="O114" s="184">
        <f t="shared" si="78"/>
        <v>31.374416094266575</v>
      </c>
      <c r="P114" s="184">
        <f t="shared" si="78"/>
        <v>31.118178111179084</v>
      </c>
      <c r="Q114" s="184">
        <f t="shared" si="78"/>
        <v>30.863929096136658</v>
      </c>
      <c r="R114" s="184">
        <f xml:space="preserve"> R$61</f>
        <v>20.592390663960764</v>
      </c>
    </row>
    <row r="115" spans="1:26" x14ac:dyDescent="0.25">
      <c r="E115" s="7" t="str">
        <f t="shared" ref="E115:R115" si="79" xml:space="preserve"> E$108</f>
        <v>Total nominal revenue company should have received</v>
      </c>
      <c r="F115" s="184">
        <f t="shared" si="79"/>
        <v>0</v>
      </c>
      <c r="G115" s="184" t="str">
        <f t="shared" si="79"/>
        <v>£m</v>
      </c>
      <c r="H115" s="184">
        <f t="shared" si="79"/>
        <v>184.35408171776049</v>
      </c>
      <c r="I115" s="184">
        <f t="shared" si="79"/>
        <v>0</v>
      </c>
      <c r="J115" s="184">
        <f t="shared" si="79"/>
        <v>0</v>
      </c>
      <c r="K115" s="184">
        <f t="shared" si="79"/>
        <v>0</v>
      </c>
      <c r="L115" s="184">
        <f t="shared" si="79"/>
        <v>0</v>
      </c>
      <c r="M115" s="184">
        <f t="shared" si="79"/>
        <v>31.867045690762549</v>
      </c>
      <c r="N115" s="184">
        <f t="shared" si="79"/>
        <v>31.884773238970539</v>
      </c>
      <c r="O115" s="184">
        <f t="shared" si="79"/>
        <v>32.536631788884939</v>
      </c>
      <c r="P115" s="184">
        <f t="shared" si="79"/>
        <v>33.023471394096262</v>
      </c>
      <c r="Q115" s="184">
        <f t="shared" si="79"/>
        <v>32.748026994033474</v>
      </c>
      <c r="R115" s="184">
        <f t="shared" si="79"/>
        <v>22.294132611012728</v>
      </c>
    </row>
    <row r="116" spans="1:26" s="184" customFormat="1" x14ac:dyDescent="0.25">
      <c r="A116" s="180"/>
      <c r="B116" s="181"/>
      <c r="C116" s="182"/>
      <c r="D116" s="183"/>
      <c r="E116" s="7" t="s">
        <v>384</v>
      </c>
      <c r="G116" s="184" t="str">
        <f t="shared" ref="G116" si="80" xml:space="preserve"> G$99</f>
        <v>£m</v>
      </c>
      <c r="H116" s="244">
        <f>SUM(J116:R116)</f>
        <v>5.0719214355244695</v>
      </c>
      <c r="M116" s="184">
        <f>M115-M114</f>
        <v>-0.11646044058135274</v>
      </c>
      <c r="N116" s="184">
        <f t="shared" ref="N116:Q116" si="81">N115-N114</f>
        <v>0.23677500067346458</v>
      </c>
      <c r="O116" s="184">
        <f t="shared" si="81"/>
        <v>1.1622156946183644</v>
      </c>
      <c r="P116" s="184">
        <f t="shared" si="81"/>
        <v>1.905293282917178</v>
      </c>
      <c r="Q116" s="184">
        <f t="shared" si="81"/>
        <v>1.8840978978968153</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82">SUM(J124:J125)</f>
        <v>0</v>
      </c>
      <c r="K126" s="172">
        <f t="shared" si="82"/>
        <v>0</v>
      </c>
      <c r="L126" s="172">
        <f t="shared" si="82"/>
        <v>3.152631114510096E-2</v>
      </c>
      <c r="M126" s="172">
        <f>SUM(M124:M125)</f>
        <v>2.4234515793184253E-2</v>
      </c>
      <c r="N126" s="172">
        <f t="shared" ref="N126:R126" si="83">SUM(N124:N125)</f>
        <v>2.9584601482417927E-2</v>
      </c>
      <c r="O126" s="172">
        <f t="shared" si="83"/>
        <v>3.1504839339319135E-2</v>
      </c>
      <c r="P126" s="172">
        <f t="shared" si="83"/>
        <v>3.2001607779984953E-2</v>
      </c>
      <c r="Q126" s="172">
        <f t="shared" si="83"/>
        <v>3.1998138584413471E-2</v>
      </c>
      <c r="R126" s="172">
        <f t="shared" si="83"/>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540.72799999999995</v>
      </c>
      <c r="N128" s="245">
        <f t="shared" si="84"/>
        <v>532.27540895045308</v>
      </c>
      <c r="O128" s="245">
        <f t="shared" si="84"/>
        <v>526.6918247041159</v>
      </c>
      <c r="P128" s="245">
        <f t="shared" si="84"/>
        <v>522.13882019618711</v>
      </c>
      <c r="Q128" s="245">
        <f t="shared" si="84"/>
        <v>517.87446041410328</v>
      </c>
      <c r="R128" s="245">
        <f t="shared" si="84"/>
        <v>513.64320140512518</v>
      </c>
    </row>
    <row r="129" spans="1:16383" x14ac:dyDescent="0.25">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3.152631114510096E-2</v>
      </c>
      <c r="M129" s="178">
        <f t="shared" si="85"/>
        <v>2.4234515793184253E-2</v>
      </c>
      <c r="N129" s="178">
        <f t="shared" si="85"/>
        <v>2.9584601482417927E-2</v>
      </c>
      <c r="O129" s="178">
        <f t="shared" si="85"/>
        <v>3.1504839339319135E-2</v>
      </c>
      <c r="P129" s="178">
        <f t="shared" si="85"/>
        <v>3.2001607779984953E-2</v>
      </c>
      <c r="Q129" s="178">
        <f t="shared" si="85"/>
        <v>3.1998138584413471E-2</v>
      </c>
      <c r="R129" s="178">
        <f t="shared" si="85"/>
        <v>3.0001225340031912E-2</v>
      </c>
    </row>
    <row r="130" spans="1:16383" x14ac:dyDescent="0.25">
      <c r="C130" s="278"/>
      <c r="E130" s="7" t="s">
        <v>390</v>
      </c>
      <c r="G130" s="91" t="s">
        <v>235</v>
      </c>
      <c r="J130" s="246">
        <f>J128*J129</f>
        <v>0</v>
      </c>
      <c r="K130" s="246">
        <f t="shared" ref="K130" si="86">K128*K129</f>
        <v>0</v>
      </c>
      <c r="L130" s="246">
        <f t="shared" ref="L130" si="87">L128*L129</f>
        <v>0</v>
      </c>
      <c r="M130" s="246">
        <f>M128*M129</f>
        <v>13.104281255816934</v>
      </c>
      <c r="N130" s="246">
        <f t="shared" ref="N130" si="88">N128*N129</f>
        <v>15.747155852690183</v>
      </c>
      <c r="O130" s="246">
        <f t="shared" ref="O130" si="89">O128*O129</f>
        <v>16.593341318636007</v>
      </c>
      <c r="P130" s="246">
        <f t="shared" ref="P130" si="90">P128*P129</f>
        <v>16.709281730622465</v>
      </c>
      <c r="Q130" s="246">
        <f t="shared" ref="Q130" si="91">Q128*Q129</f>
        <v>16.571018753658826</v>
      </c>
      <c r="R130" s="246">
        <f t="shared" ref="R130" si="92">R128*R129</f>
        <v>15.409925429730556</v>
      </c>
    </row>
    <row r="132" spans="1:16383" s="205" customFormat="1" x14ac:dyDescent="0.25">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3.8923105486887502E-2</v>
      </c>
      <c r="N132" s="205">
        <f xml:space="preserve"> InpR!N$95</f>
        <v>3.8923105486887502E-2</v>
      </c>
      <c r="O132" s="205">
        <f xml:space="preserve"> InpR!O$95</f>
        <v>3.8923105486887502E-2</v>
      </c>
      <c r="P132" s="205">
        <f xml:space="preserve"> InpR!P$95</f>
        <v>3.8923105486887502E-2</v>
      </c>
      <c r="Q132" s="205">
        <f xml:space="preserve"> InpR!Q$95</f>
        <v>3.8923105486887502E-2</v>
      </c>
      <c r="R132" s="205">
        <f xml:space="preserve"> InpR!R$95</f>
        <v>3.8923105486887502E-2</v>
      </c>
    </row>
    <row r="133" spans="1:16383" s="161" customFormat="1" x14ac:dyDescent="0.25">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540.72799999999995</v>
      </c>
      <c r="N133" s="245">
        <f t="shared" si="93"/>
        <v>532.27540895045308</v>
      </c>
      <c r="O133" s="245">
        <f t="shared" si="93"/>
        <v>526.6918247041159</v>
      </c>
      <c r="P133" s="245">
        <f t="shared" si="93"/>
        <v>522.13882019618711</v>
      </c>
      <c r="Q133" s="245">
        <f t="shared" si="93"/>
        <v>517.87446041410328</v>
      </c>
      <c r="R133" s="245">
        <f t="shared" si="93"/>
        <v>513.64320140512518</v>
      </c>
    </row>
    <row r="134" spans="1:16383" s="91" customFormat="1" x14ac:dyDescent="0.25">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13.104281255816934</v>
      </c>
      <c r="N134" s="246">
        <f t="shared" si="94"/>
        <v>15.747155852690183</v>
      </c>
      <c r="O134" s="246">
        <f t="shared" si="94"/>
        <v>16.593341318636007</v>
      </c>
      <c r="P134" s="246">
        <f t="shared" si="94"/>
        <v>16.709281730622465</v>
      </c>
      <c r="Q134" s="246">
        <f t="shared" si="94"/>
        <v>16.571018753658826</v>
      </c>
      <c r="R134" s="246">
        <f t="shared" si="94"/>
        <v>15.409925429730556</v>
      </c>
      <c r="S134" s="92"/>
      <c r="T134" s="92"/>
      <c r="U134" s="92"/>
      <c r="V134" s="92"/>
      <c r="W134" s="92"/>
      <c r="X134" s="92"/>
      <c r="Y134" s="92"/>
      <c r="Z134" s="92"/>
    </row>
    <row r="135" spans="1:16383" x14ac:dyDescent="0.25">
      <c r="C135" s="278"/>
      <c r="E135" s="7" t="s">
        <v>391</v>
      </c>
      <c r="F135" s="247"/>
      <c r="G135" s="162" t="s">
        <v>235</v>
      </c>
      <c r="H135" s="247"/>
      <c r="I135" s="247"/>
      <c r="J135" s="246">
        <f t="shared" ref="J135:R135" si="95" xml:space="preserve"> (J133+J134) * J132</f>
        <v>0</v>
      </c>
      <c r="K135" s="246">
        <f t="shared" si="95"/>
        <v>0</v>
      </c>
      <c r="L135" s="246">
        <f t="shared" si="95"/>
        <v>0</v>
      </c>
      <c r="M135" s="246">
        <f xml:space="preserve"> (M133+M134) * M132</f>
        <v>21.556872305363708</v>
      </c>
      <c r="N135" s="246">
        <f t="shared" si="95"/>
        <v>21.330740099027388</v>
      </c>
      <c r="O135" s="246">
        <f t="shared" si="95"/>
        <v>21.146345826564762</v>
      </c>
      <c r="P135" s="246">
        <f t="shared" si="95"/>
        <v>20.973641512706319</v>
      </c>
      <c r="Q135" s="246">
        <f t="shared" si="95"/>
        <v>20.80227776263694</v>
      </c>
      <c r="R135" s="246">
        <f t="shared" si="95"/>
        <v>20.592390663960764</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InpR!$E$88</f>
        <v>RCV - CPI(H) + RPI wedge initial balance - nominal - WN</v>
      </c>
      <c r="F137" s="250">
        <f>InpR!$F$88</f>
        <v>540.72799999999995</v>
      </c>
      <c r="G137" s="250" t="str">
        <f>InpR!$G$88</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 si="96" xml:space="preserve"> I143</f>
        <v>0</v>
      </c>
      <c r="K140" s="242">
        <f t="shared" ref="K140" si="97" xml:space="preserve"> J143</f>
        <v>0</v>
      </c>
      <c r="L140" s="242">
        <f t="shared" ref="L140" si="98" xml:space="preserve"> K143</f>
        <v>0</v>
      </c>
      <c r="M140" s="242">
        <f t="shared" ref="M140" si="99" xml:space="preserve"> L143</f>
        <v>540.72799999999995</v>
      </c>
      <c r="N140" s="242">
        <f t="shared" ref="N140" si="100" xml:space="preserve"> M143</f>
        <v>532.27540895045308</v>
      </c>
      <c r="O140" s="242">
        <f t="shared" ref="O140" si="101" xml:space="preserve"> N143</f>
        <v>526.6918247041159</v>
      </c>
      <c r="P140" s="242">
        <f t="shared" ref="P140" si="102" xml:space="preserve"> O143</f>
        <v>522.13882019618711</v>
      </c>
      <c r="Q140" s="242">
        <f t="shared" ref="Q140" si="103" xml:space="preserve"> P143</f>
        <v>517.87446041410328</v>
      </c>
      <c r="R140" s="242">
        <f t="shared" ref="R140" si="104" xml:space="preserve"> Q143</f>
        <v>513.64320140512518</v>
      </c>
    </row>
    <row r="141" spans="1:16383" x14ac:dyDescent="0.25">
      <c r="A141" s="47"/>
      <c r="B141" s="51"/>
      <c r="C141" s="111"/>
      <c r="D141" s="56" t="s">
        <v>354</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13.104281255816934</v>
      </c>
      <c r="N141" s="242">
        <f t="shared" si="105"/>
        <v>15.747155852690183</v>
      </c>
      <c r="O141" s="242">
        <f t="shared" si="105"/>
        <v>16.593341318636007</v>
      </c>
      <c r="P141" s="242">
        <f t="shared" si="105"/>
        <v>16.709281730622465</v>
      </c>
      <c r="Q141" s="242">
        <f t="shared" si="105"/>
        <v>16.571018753658826</v>
      </c>
      <c r="R141" s="242">
        <f t="shared" si="105"/>
        <v>15.409925429730556</v>
      </c>
    </row>
    <row r="142" spans="1:16383" x14ac:dyDescent="0.25">
      <c r="A142" s="47"/>
      <c r="B142" s="51"/>
      <c r="C142" s="111"/>
      <c r="D142" s="56" t="s">
        <v>355</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21.556872305363708</v>
      </c>
      <c r="N142" s="242">
        <f t="shared" si="106"/>
        <v>21.330740099027388</v>
      </c>
      <c r="O142" s="242">
        <f t="shared" si="106"/>
        <v>21.146345826564762</v>
      </c>
      <c r="P142" s="242">
        <f t="shared" si="106"/>
        <v>20.973641512706319</v>
      </c>
      <c r="Q142" s="242">
        <f t="shared" si="106"/>
        <v>20.80227776263694</v>
      </c>
      <c r="R142" s="242">
        <f t="shared" si="106"/>
        <v>20.592390663960764</v>
      </c>
    </row>
    <row r="143" spans="1:16383" s="138" customFormat="1" x14ac:dyDescent="0.25">
      <c r="A143" s="134"/>
      <c r="B143" s="135"/>
      <c r="C143" s="279"/>
      <c r="D143" s="137"/>
      <c r="E143" s="138" t="s">
        <v>393</v>
      </c>
      <c r="G143" s="163" t="s">
        <v>235</v>
      </c>
      <c r="J143" s="243">
        <f t="shared" ref="J143:R143" si="107" xml:space="preserve"> IF( J138 = 1, $F137, J140 + J141 - J142)</f>
        <v>0</v>
      </c>
      <c r="K143" s="243">
        <f t="shared" si="107"/>
        <v>0</v>
      </c>
      <c r="L143" s="243">
        <f t="shared" si="107"/>
        <v>540.72799999999995</v>
      </c>
      <c r="M143" s="243">
        <f t="shared" si="107"/>
        <v>532.27540895045308</v>
      </c>
      <c r="N143" s="243">
        <f t="shared" si="107"/>
        <v>526.6918247041159</v>
      </c>
      <c r="O143" s="243">
        <f t="shared" si="107"/>
        <v>522.13882019618711</v>
      </c>
      <c r="P143" s="243">
        <f t="shared" si="107"/>
        <v>517.87446041410328</v>
      </c>
      <c r="Q143" s="243">
        <f t="shared" si="107"/>
        <v>513.64320140512518</v>
      </c>
      <c r="R143" s="243">
        <f t="shared" si="107"/>
        <v>508.46073617089502</v>
      </c>
    </row>
    <row r="145" spans="1:26" s="92" customFormat="1" x14ac:dyDescent="0.25">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540.72799999999995</v>
      </c>
      <c r="N145" s="185">
        <f t="shared" si="108"/>
        <v>532.27540895045308</v>
      </c>
      <c r="O145" s="185">
        <f t="shared" si="108"/>
        <v>526.6918247041159</v>
      </c>
      <c r="P145" s="185">
        <f t="shared" si="108"/>
        <v>522.13882019618711</v>
      </c>
      <c r="Q145" s="185">
        <f t="shared" si="108"/>
        <v>517.87446041410328</v>
      </c>
      <c r="R145" s="185">
        <f t="shared" si="108"/>
        <v>513.64320140512518</v>
      </c>
    </row>
    <row r="146" spans="1:26" s="91" customFormat="1" x14ac:dyDescent="0.25">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13.104281255816934</v>
      </c>
      <c r="N146" s="184">
        <f t="shared" si="109"/>
        <v>15.747155852690183</v>
      </c>
      <c r="O146" s="184">
        <f t="shared" si="109"/>
        <v>16.593341318636007</v>
      </c>
      <c r="P146" s="184">
        <f t="shared" si="109"/>
        <v>16.709281730622465</v>
      </c>
      <c r="Q146" s="184">
        <f t="shared" si="109"/>
        <v>16.571018753658826</v>
      </c>
      <c r="R146" s="184">
        <f t="shared" si="109"/>
        <v>15.409925429730556</v>
      </c>
      <c r="S146" s="92"/>
      <c r="T146" s="92"/>
      <c r="U146" s="92"/>
      <c r="V146" s="92"/>
      <c r="W146" s="92"/>
      <c r="X146" s="92"/>
      <c r="Y146" s="92"/>
      <c r="Z146" s="92"/>
    </row>
    <row r="147" spans="1:26" s="92" customFormat="1" x14ac:dyDescent="0.25">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540.72799999999995</v>
      </c>
      <c r="M147" s="185">
        <f t="shared" si="110"/>
        <v>532.27540895045308</v>
      </c>
      <c r="N147" s="185">
        <f t="shared" si="110"/>
        <v>526.6918247041159</v>
      </c>
      <c r="O147" s="185">
        <f t="shared" si="110"/>
        <v>522.13882019618711</v>
      </c>
      <c r="P147" s="185">
        <f t="shared" si="110"/>
        <v>517.87446041410328</v>
      </c>
      <c r="Q147" s="185">
        <f t="shared" si="110"/>
        <v>513.64320140512518</v>
      </c>
      <c r="R147" s="185">
        <f t="shared" si="110"/>
        <v>508.46073617089502</v>
      </c>
    </row>
    <row r="148" spans="1:26" x14ac:dyDescent="0.25">
      <c r="A148" s="49"/>
      <c r="C148" s="278"/>
      <c r="D148" s="57"/>
      <c r="E148" s="7" t="s">
        <v>394</v>
      </c>
      <c r="F148" s="244"/>
      <c r="G148" s="185" t="s">
        <v>235</v>
      </c>
      <c r="H148" s="244"/>
      <c r="I148" s="244"/>
      <c r="J148" s="185">
        <f t="shared" ref="J148:L148" si="111" xml:space="preserve"> ( (J145+J146) + J147) / 2</f>
        <v>0</v>
      </c>
      <c r="K148" s="185">
        <f t="shared" si="111"/>
        <v>0</v>
      </c>
      <c r="L148" s="185">
        <f t="shared" si="111"/>
        <v>270.36399999999998</v>
      </c>
      <c r="M148" s="185">
        <f xml:space="preserve"> ( (M145+M146) + M147) / 2</f>
        <v>543.05384510313502</v>
      </c>
      <c r="N148" s="185">
        <f t="shared" ref="N148:R148" si="112" xml:space="preserve"> ( (N145+N146) + N147) / 2</f>
        <v>537.35719475362953</v>
      </c>
      <c r="O148" s="185">
        <f t="shared" si="112"/>
        <v>532.71199310946952</v>
      </c>
      <c r="P148" s="185">
        <f t="shared" si="112"/>
        <v>528.36128117045644</v>
      </c>
      <c r="Q148" s="185">
        <f t="shared" si="112"/>
        <v>524.04434028644368</v>
      </c>
      <c r="R148" s="185">
        <f t="shared" si="112"/>
        <v>518.75693150287543</v>
      </c>
    </row>
    <row r="150" spans="1:26" s="205" customFormat="1" x14ac:dyDescent="0.25">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1.9199999999999998E-2</v>
      </c>
      <c r="N150" s="205">
        <f xml:space="preserve"> InpR!N$102</f>
        <v>1.9199999999999998E-2</v>
      </c>
      <c r="O150" s="205">
        <f xml:space="preserve"> InpR!O$102</f>
        <v>1.9199999999999998E-2</v>
      </c>
      <c r="P150" s="205">
        <f xml:space="preserve"> InpR!P$102</f>
        <v>1.9199999999999998E-2</v>
      </c>
      <c r="Q150" s="205">
        <f xml:space="preserve"> InpR!Q$102</f>
        <v>1.9199999999999998E-2</v>
      </c>
      <c r="R150" s="205">
        <f xml:space="preserve"> InpR!R$102</f>
        <v>1.9199999999999998E-2</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270.36399999999998</v>
      </c>
      <c r="M152" s="246">
        <f t="shared" si="113"/>
        <v>543.05384510313502</v>
      </c>
      <c r="N152" s="246">
        <f t="shared" si="113"/>
        <v>537.35719475362953</v>
      </c>
      <c r="O152" s="246">
        <f t="shared" si="113"/>
        <v>532.71199310946952</v>
      </c>
      <c r="P152" s="246">
        <f t="shared" si="113"/>
        <v>528.36128117045644</v>
      </c>
      <c r="Q152" s="246">
        <f t="shared" si="113"/>
        <v>524.04434028644368</v>
      </c>
      <c r="R152" s="246">
        <f t="shared" si="113"/>
        <v>518.75693150287543</v>
      </c>
    </row>
    <row r="153" spans="1:26" x14ac:dyDescent="0.25">
      <c r="C153" s="278"/>
      <c r="E153" s="7" t="s">
        <v>395</v>
      </c>
      <c r="F153" s="244"/>
      <c r="G153" s="184" t="s">
        <v>235</v>
      </c>
      <c r="H153" s="244"/>
      <c r="I153" s="244"/>
      <c r="J153" s="246">
        <f t="shared" ref="J153:K153" si="114">J150*J151*J152</f>
        <v>0</v>
      </c>
      <c r="K153" s="246">
        <f t="shared" si="114"/>
        <v>0</v>
      </c>
      <c r="L153" s="246">
        <f>L150*L151*L152</f>
        <v>0</v>
      </c>
      <c r="M153" s="246">
        <f t="shared" ref="M153:R153" si="115">M150*M151*M152</f>
        <v>10.426633825980192</v>
      </c>
      <c r="N153" s="246">
        <f t="shared" si="115"/>
        <v>10.317258139269686</v>
      </c>
      <c r="O153" s="246">
        <f t="shared" si="115"/>
        <v>10.228070267701813</v>
      </c>
      <c r="P153" s="246">
        <f t="shared" si="115"/>
        <v>10.144536598472763</v>
      </c>
      <c r="Q153" s="246">
        <f t="shared" si="115"/>
        <v>10.061651333499718</v>
      </c>
      <c r="R153" s="246">
        <f t="shared" si="115"/>
        <v>0</v>
      </c>
    </row>
    <row r="154" spans="1:26" x14ac:dyDescent="0.25">
      <c r="M154" s="187"/>
      <c r="N154" s="187"/>
      <c r="O154" s="187"/>
      <c r="P154" s="187"/>
      <c r="Q154" s="187"/>
    </row>
    <row r="155" spans="1:26" s="91" customFormat="1" x14ac:dyDescent="0.25">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21.556872305363708</v>
      </c>
      <c r="N155" s="184">
        <f t="shared" si="116"/>
        <v>21.330740099027388</v>
      </c>
      <c r="O155" s="184">
        <f t="shared" si="116"/>
        <v>21.146345826564762</v>
      </c>
      <c r="P155" s="184">
        <f t="shared" si="116"/>
        <v>20.973641512706319</v>
      </c>
      <c r="Q155" s="184">
        <f t="shared" si="116"/>
        <v>20.80227776263694</v>
      </c>
      <c r="R155" s="184">
        <f t="shared" si="116"/>
        <v>20.592390663960764</v>
      </c>
      <c r="S155" s="92"/>
      <c r="T155" s="92"/>
      <c r="U155" s="92"/>
      <c r="V155" s="92"/>
      <c r="W155" s="92"/>
      <c r="X155" s="92"/>
      <c r="Y155" s="92"/>
      <c r="Z155" s="92"/>
    </row>
    <row r="156" spans="1:26" x14ac:dyDescent="0.25">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10.426633825980192</v>
      </c>
      <c r="N156" s="184">
        <f t="shared" si="117"/>
        <v>10.317258139269686</v>
      </c>
      <c r="O156" s="184">
        <f t="shared" si="117"/>
        <v>10.228070267701813</v>
      </c>
      <c r="P156" s="184">
        <f t="shared" si="117"/>
        <v>10.144536598472763</v>
      </c>
      <c r="Q156" s="184">
        <f t="shared" si="117"/>
        <v>10.061651333499718</v>
      </c>
      <c r="R156" s="184">
        <f t="shared" si="117"/>
        <v>0</v>
      </c>
    </row>
    <row r="157" spans="1:26" x14ac:dyDescent="0.25">
      <c r="C157" s="278"/>
      <c r="E157" s="7" t="s">
        <v>396</v>
      </c>
      <c r="F157" s="244"/>
      <c r="G157" s="184" t="str">
        <f t="shared" ref="G157" si="118">G$155</f>
        <v>£m</v>
      </c>
      <c r="H157" s="244">
        <f>SUM(J157:R157)</f>
        <v>177.58041833518405</v>
      </c>
      <c r="I157" s="244"/>
      <c r="J157" s="244">
        <f t="shared" ref="J157:R157" si="119">SUM(J155:J156)</f>
        <v>0</v>
      </c>
      <c r="K157" s="244">
        <f t="shared" si="119"/>
        <v>0</v>
      </c>
      <c r="L157" s="244">
        <f>SUM(L155:L156)</f>
        <v>0</v>
      </c>
      <c r="M157" s="244">
        <f t="shared" si="119"/>
        <v>31.983506131343901</v>
      </c>
      <c r="N157" s="244">
        <f t="shared" si="119"/>
        <v>31.647998238297074</v>
      </c>
      <c r="O157" s="244">
        <f t="shared" si="119"/>
        <v>31.374416094266575</v>
      </c>
      <c r="P157" s="244">
        <f t="shared" si="119"/>
        <v>31.118178111179084</v>
      </c>
      <c r="Q157" s="244">
        <f t="shared" si="119"/>
        <v>30.863929096136658</v>
      </c>
      <c r="R157" s="244">
        <f t="shared" si="119"/>
        <v>20.592390663960764</v>
      </c>
    </row>
    <row r="159" spans="1:26" x14ac:dyDescent="0.25">
      <c r="E159" s="7" t="str">
        <f t="shared" ref="E159:R159" si="120" xml:space="preserve"> E$157</f>
        <v>Total True up Nominal revenue to company</v>
      </c>
      <c r="F159" s="184">
        <f t="shared" si="120"/>
        <v>0</v>
      </c>
      <c r="G159" s="184" t="str">
        <f t="shared" si="120"/>
        <v>£m</v>
      </c>
      <c r="H159" s="184">
        <f t="shared" si="120"/>
        <v>177.58041833518405</v>
      </c>
      <c r="I159" s="184">
        <f t="shared" si="120"/>
        <v>0</v>
      </c>
      <c r="J159" s="184">
        <f t="shared" si="120"/>
        <v>0</v>
      </c>
      <c r="K159" s="184">
        <f t="shared" si="120"/>
        <v>0</v>
      </c>
      <c r="L159" s="184">
        <f t="shared" si="120"/>
        <v>0</v>
      </c>
      <c r="M159" s="184">
        <f t="shared" si="120"/>
        <v>31.983506131343901</v>
      </c>
      <c r="N159" s="184">
        <f t="shared" si="120"/>
        <v>31.647998238297074</v>
      </c>
      <c r="O159" s="184">
        <f t="shared" si="120"/>
        <v>31.374416094266575</v>
      </c>
      <c r="P159" s="184">
        <f t="shared" si="120"/>
        <v>31.118178111179084</v>
      </c>
      <c r="Q159" s="184">
        <f t="shared" si="120"/>
        <v>30.863929096136658</v>
      </c>
      <c r="R159" s="184">
        <f t="shared" si="120"/>
        <v>20.592390663960764</v>
      </c>
    </row>
    <row r="160" spans="1:26" x14ac:dyDescent="0.25">
      <c r="E160" s="7" t="str">
        <f t="shared" ref="E160:R160" si="121" xml:space="preserve"> E$108</f>
        <v>Total nominal revenue company should have received</v>
      </c>
      <c r="F160" s="184">
        <f t="shared" si="121"/>
        <v>0</v>
      </c>
      <c r="G160" s="184" t="str">
        <f t="shared" si="121"/>
        <v>£m</v>
      </c>
      <c r="H160" s="184">
        <f t="shared" si="121"/>
        <v>184.35408171776049</v>
      </c>
      <c r="I160" s="184">
        <f t="shared" si="121"/>
        <v>0</v>
      </c>
      <c r="J160" s="184">
        <f t="shared" si="121"/>
        <v>0</v>
      </c>
      <c r="K160" s="184">
        <f t="shared" si="121"/>
        <v>0</v>
      </c>
      <c r="L160" s="184">
        <f t="shared" si="121"/>
        <v>0</v>
      </c>
      <c r="M160" s="184">
        <f t="shared" si="121"/>
        <v>31.867045690762549</v>
      </c>
      <c r="N160" s="184">
        <f t="shared" si="121"/>
        <v>31.884773238970539</v>
      </c>
      <c r="O160" s="184">
        <f t="shared" si="121"/>
        <v>32.536631788884939</v>
      </c>
      <c r="P160" s="184">
        <f t="shared" si="121"/>
        <v>33.023471394096262</v>
      </c>
      <c r="Q160" s="184">
        <f t="shared" si="121"/>
        <v>32.748026994033474</v>
      </c>
      <c r="R160" s="184">
        <f t="shared" si="121"/>
        <v>22.294132611012728</v>
      </c>
    </row>
    <row r="161" spans="1:16383" s="185" customFormat="1" x14ac:dyDescent="0.25">
      <c r="A161" s="252"/>
      <c r="B161" s="181"/>
      <c r="C161" s="182"/>
      <c r="D161" s="253"/>
      <c r="E161" s="7" t="s">
        <v>397</v>
      </c>
      <c r="G161" s="185" t="str">
        <f t="shared" ref="G161" si="122" xml:space="preserve"> G$153</f>
        <v>£m</v>
      </c>
      <c r="H161" s="185">
        <f xml:space="preserve"> SUM(J161:R161)</f>
        <v>6.7736633825764336</v>
      </c>
      <c r="J161" s="185">
        <f t="shared" ref="J161:K161" si="123">J160-J159</f>
        <v>0</v>
      </c>
      <c r="K161" s="185">
        <f t="shared" si="123"/>
        <v>0</v>
      </c>
      <c r="L161" s="185">
        <f>L160-L159</f>
        <v>0</v>
      </c>
      <c r="M161" s="185">
        <f>M160-M159</f>
        <v>-0.11646044058135274</v>
      </c>
      <c r="N161" s="185">
        <f t="shared" ref="N161:R161" si="124">N160-N159</f>
        <v>0.23677500067346458</v>
      </c>
      <c r="O161" s="185">
        <f t="shared" si="124"/>
        <v>1.1622156946183644</v>
      </c>
      <c r="P161" s="185">
        <f t="shared" si="124"/>
        <v>1.905293282917178</v>
      </c>
      <c r="Q161" s="185">
        <f t="shared" si="124"/>
        <v>1.8840978978968153</v>
      </c>
      <c r="R161" s="185">
        <f t="shared" si="124"/>
        <v>1.7017419470519641</v>
      </c>
    </row>
    <row r="163" spans="1:16383" s="91" customFormat="1" x14ac:dyDescent="0.25">
      <c r="A163" s="170"/>
      <c r="B163" s="165"/>
      <c r="C163" s="166"/>
      <c r="D163" s="171"/>
      <c r="E163" s="7" t="str">
        <f t="shared" ref="E163:R163" si="125" xml:space="preserve"> E$161</f>
        <v>Value of True up nominal</v>
      </c>
      <c r="F163" s="248">
        <f t="shared" si="125"/>
        <v>0</v>
      </c>
      <c r="G163" s="248" t="str">
        <f t="shared" si="125"/>
        <v>£m</v>
      </c>
      <c r="H163" s="248">
        <f t="shared" si="125"/>
        <v>6.7736633825764336</v>
      </c>
      <c r="I163" s="248">
        <f t="shared" si="125"/>
        <v>0</v>
      </c>
      <c r="J163" s="248">
        <f t="shared" si="125"/>
        <v>0</v>
      </c>
      <c r="K163" s="248">
        <f t="shared" si="125"/>
        <v>0</v>
      </c>
      <c r="L163" s="248">
        <f t="shared" si="125"/>
        <v>0</v>
      </c>
      <c r="M163" s="248">
        <f t="shared" si="125"/>
        <v>-0.11646044058135274</v>
      </c>
      <c r="N163" s="248">
        <f t="shared" si="125"/>
        <v>0.23677500067346458</v>
      </c>
      <c r="O163" s="248">
        <f t="shared" si="125"/>
        <v>1.1622156946183644</v>
      </c>
      <c r="P163" s="248">
        <f t="shared" si="125"/>
        <v>1.905293282917178</v>
      </c>
      <c r="Q163" s="248">
        <f t="shared" si="125"/>
        <v>1.8840978978968153</v>
      </c>
      <c r="R163" s="248">
        <f t="shared" si="125"/>
        <v>1.7017419470519641</v>
      </c>
      <c r="S163" s="92"/>
      <c r="T163" s="92"/>
      <c r="U163" s="92"/>
      <c r="V163" s="92"/>
      <c r="W163" s="92"/>
      <c r="X163" s="92"/>
      <c r="Y163" s="92"/>
      <c r="Z163" s="92"/>
    </row>
    <row r="164" spans="1:16383" s="91" customFormat="1" x14ac:dyDescent="0.25">
      <c r="A164" s="170"/>
      <c r="B164" s="165"/>
      <c r="C164" s="166"/>
      <c r="D164" s="171"/>
      <c r="E164" s="7" t="str">
        <f t="shared" ref="E164:R164" si="126" xml:space="preserve"> E$116</f>
        <v>Difference in nominal revenue</v>
      </c>
      <c r="F164" s="248">
        <f t="shared" si="126"/>
        <v>0</v>
      </c>
      <c r="G164" s="248" t="str">
        <f t="shared" si="126"/>
        <v>£m</v>
      </c>
      <c r="H164" s="248">
        <f t="shared" si="126"/>
        <v>5.0719214355244695</v>
      </c>
      <c r="I164" s="248">
        <f t="shared" si="126"/>
        <v>0</v>
      </c>
      <c r="J164" s="248">
        <f t="shared" si="126"/>
        <v>0</v>
      </c>
      <c r="K164" s="248">
        <f t="shared" si="126"/>
        <v>0</v>
      </c>
      <c r="L164" s="248">
        <f t="shared" si="126"/>
        <v>0</v>
      </c>
      <c r="M164" s="248">
        <f t="shared" si="126"/>
        <v>-0.11646044058135274</v>
      </c>
      <c r="N164" s="248">
        <f t="shared" si="126"/>
        <v>0.23677500067346458</v>
      </c>
      <c r="O164" s="248">
        <f t="shared" si="126"/>
        <v>1.1622156946183644</v>
      </c>
      <c r="P164" s="248">
        <f t="shared" si="126"/>
        <v>1.905293282917178</v>
      </c>
      <c r="Q164" s="248">
        <f t="shared" si="126"/>
        <v>1.8840978978968153</v>
      </c>
      <c r="R164" s="248">
        <f t="shared" si="126"/>
        <v>0</v>
      </c>
      <c r="S164" s="92"/>
      <c r="T164" s="92"/>
      <c r="U164" s="92"/>
      <c r="V164" s="92"/>
      <c r="W164" s="92"/>
      <c r="X164" s="92"/>
      <c r="Y164" s="92"/>
      <c r="Z164" s="92"/>
    </row>
    <row r="165" spans="1:16383" s="211" customFormat="1" x14ac:dyDescent="0.25">
      <c r="A165" s="224"/>
      <c r="B165" s="208"/>
      <c r="C165" s="209"/>
      <c r="D165" s="210"/>
      <c r="E165" s="7" t="s">
        <v>398</v>
      </c>
      <c r="F165" s="225">
        <f>SUM(J165:R165)</f>
        <v>1</v>
      </c>
      <c r="G165" s="211" t="s">
        <v>318</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1</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5">
      <c r="A167" s="50" t="s">
        <v>399</v>
      </c>
      <c r="B167" s="50"/>
    </row>
    <row r="169" spans="1:16383" x14ac:dyDescent="0.25">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270.36399999999998</v>
      </c>
      <c r="M169" s="185">
        <f t="shared" si="129"/>
        <v>543.05384510313502</v>
      </c>
      <c r="N169" s="184">
        <f t="shared" si="129"/>
        <v>537.35719475362953</v>
      </c>
      <c r="O169" s="184">
        <f t="shared" si="129"/>
        <v>532.71199310946952</v>
      </c>
      <c r="P169" s="184">
        <f t="shared" si="129"/>
        <v>528.36128117045644</v>
      </c>
      <c r="Q169" s="184">
        <f t="shared" si="129"/>
        <v>524.04434028644368</v>
      </c>
      <c r="R169" s="184">
        <f t="shared" si="129"/>
        <v>518.75693150287543</v>
      </c>
    </row>
    <row r="170" spans="1:16383" x14ac:dyDescent="0.25">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270.36399999999998</v>
      </c>
      <c r="M170" s="185">
        <f t="shared" si="130"/>
        <v>541.07644181906767</v>
      </c>
      <c r="N170" s="184">
        <f t="shared" si="130"/>
        <v>541.37744112724442</v>
      </c>
      <c r="O170" s="184">
        <f t="shared" si="130"/>
        <v>552.44546758252579</v>
      </c>
      <c r="P170" s="184">
        <f t="shared" si="130"/>
        <v>560.71160696301752</v>
      </c>
      <c r="Q170" s="184">
        <f t="shared" si="130"/>
        <v>556.03478573047505</v>
      </c>
      <c r="R170" s="184">
        <f t="shared" si="130"/>
        <v>561.62667135330457</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2" si="131" xml:space="preserve"> IF(J$171 = 0, 0, J169 / J$171)</f>
        <v>0</v>
      </c>
      <c r="K172" s="184">
        <f t="shared" si="131"/>
        <v>0</v>
      </c>
      <c r="L172" s="184">
        <f t="shared" si="131"/>
        <v>259.56704057975463</v>
      </c>
      <c r="M172" s="184">
        <f t="shared" si="131"/>
        <v>511.229732911273</v>
      </c>
      <c r="N172" s="184">
        <f t="shared" si="131"/>
        <v>495.9219740082865</v>
      </c>
      <c r="O172" s="184">
        <f t="shared" si="131"/>
        <v>481.62981014336077</v>
      </c>
      <c r="P172" s="184">
        <f t="shared" si="131"/>
        <v>467.88360292566665</v>
      </c>
      <c r="Q172" s="184">
        <f t="shared" si="131"/>
        <v>454.51193683576514</v>
      </c>
      <c r="R172" s="184">
        <f t="shared" si="131"/>
        <v>441.10652288797957</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ref="J173:R173" si="132" xml:space="preserve"> IF(J$171 = 0, 0, J170 / J$171)</f>
        <v>0</v>
      </c>
      <c r="K173" s="184">
        <f t="shared" si="132"/>
        <v>0</v>
      </c>
      <c r="L173" s="184">
        <f t="shared" si="132"/>
        <v>259.56704057975463</v>
      </c>
      <c r="M173" s="184">
        <f t="shared" si="132"/>
        <v>509.36820967211861</v>
      </c>
      <c r="N173" s="184">
        <f t="shared" si="132"/>
        <v>499.63222212084196</v>
      </c>
      <c r="O173" s="184">
        <f t="shared" si="132"/>
        <v>499.47102582249397</v>
      </c>
      <c r="P173" s="184">
        <f t="shared" si="132"/>
        <v>496.53102189268873</v>
      </c>
      <c r="Q173" s="184">
        <f t="shared" si="132"/>
        <v>482.25775565532911</v>
      </c>
      <c r="R173" s="184">
        <f t="shared" si="132"/>
        <v>477.55928281111176</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133">K173-K172</f>
        <v>0</v>
      </c>
      <c r="L174" s="185">
        <f t="shared" si="133"/>
        <v>0</v>
      </c>
      <c r="M174" s="185">
        <f t="shared" si="133"/>
        <v>-1.8615232391543941</v>
      </c>
      <c r="N174" s="185">
        <f t="shared" si="133"/>
        <v>3.7102481125554618</v>
      </c>
      <c r="O174" s="185">
        <f t="shared" si="133"/>
        <v>17.8412156791332</v>
      </c>
      <c r="P174" s="185">
        <f t="shared" si="133"/>
        <v>28.647418967022077</v>
      </c>
      <c r="Q174" s="185">
        <f t="shared" si="133"/>
        <v>27.745818819563965</v>
      </c>
      <c r="R174" s="185">
        <f t="shared" si="133"/>
        <v>36.452759923132191</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-1.8615232391543941</v>
      </c>
      <c r="N176" s="185">
        <f t="shared" si="134"/>
        <v>3.7102481125554618</v>
      </c>
      <c r="O176" s="185">
        <f t="shared" si="134"/>
        <v>17.8412156791332</v>
      </c>
      <c r="P176" s="185">
        <f t="shared" si="134"/>
        <v>28.647418967022077</v>
      </c>
      <c r="Q176" s="185">
        <f t="shared" si="134"/>
        <v>27.745818819563965</v>
      </c>
      <c r="R176" s="185">
        <f t="shared" si="134"/>
        <v>36.452759923132191</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413</v>
      </c>
      <c r="F178" s="271"/>
      <c r="G178" s="271" t="s">
        <v>235</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27.745818819563965</v>
      </c>
      <c r="R178" s="271">
        <f t="shared" si="13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21.556872305363708</v>
      </c>
      <c r="N182" s="184">
        <f t="shared" si="136"/>
        <v>21.330740099027388</v>
      </c>
      <c r="O182" s="184">
        <f t="shared" si="136"/>
        <v>21.146345826564762</v>
      </c>
      <c r="P182" s="184">
        <f t="shared" si="136"/>
        <v>20.973641512706319</v>
      </c>
      <c r="Q182" s="184">
        <f t="shared" si="136"/>
        <v>20.80227776263694</v>
      </c>
      <c r="R182" s="184">
        <f t="shared" si="136"/>
        <v>20.592390663960764</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10.426633825980192</v>
      </c>
      <c r="N183" s="184">
        <f t="shared" si="137"/>
        <v>10.317258139269686</v>
      </c>
      <c r="O183" s="184">
        <f t="shared" si="137"/>
        <v>10.228070267701813</v>
      </c>
      <c r="P183" s="184">
        <f t="shared" si="137"/>
        <v>10.144536598472763</v>
      </c>
      <c r="Q183" s="184">
        <f t="shared" si="137"/>
        <v>10.061651333499718</v>
      </c>
      <c r="R183" s="184">
        <f t="shared" si="13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8">F$157</f>
        <v>0</v>
      </c>
      <c r="G184" s="184" t="str">
        <f t="shared" si="138"/>
        <v>£m</v>
      </c>
      <c r="H184" s="184">
        <f t="shared" si="138"/>
        <v>177.58041833518405</v>
      </c>
      <c r="I184" s="184">
        <f t="shared" si="138"/>
        <v>0</v>
      </c>
      <c r="J184" s="184">
        <f t="shared" si="138"/>
        <v>0</v>
      </c>
      <c r="K184" s="184">
        <f t="shared" si="138"/>
        <v>0</v>
      </c>
      <c r="L184" s="184">
        <f t="shared" si="138"/>
        <v>0</v>
      </c>
      <c r="M184" s="184">
        <f t="shared" si="138"/>
        <v>31.983506131343901</v>
      </c>
      <c r="N184" s="184">
        <f t="shared" si="138"/>
        <v>31.647998238297074</v>
      </c>
      <c r="O184" s="184">
        <f t="shared" si="138"/>
        <v>31.374416094266575</v>
      </c>
      <c r="P184" s="184">
        <f t="shared" si="138"/>
        <v>31.118178111179084</v>
      </c>
      <c r="Q184" s="184">
        <f t="shared" si="138"/>
        <v>30.863929096136658</v>
      </c>
      <c r="R184" s="184">
        <f t="shared" si="138"/>
        <v>20.592390663960764</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21.478378007836451</v>
      </c>
      <c r="N185" s="184">
        <f t="shared" si="139"/>
        <v>21.490326369327448</v>
      </c>
      <c r="O185" s="184">
        <f t="shared" si="139"/>
        <v>21.929678811300445</v>
      </c>
      <c r="P185" s="184">
        <f t="shared" si="139"/>
        <v>22.257808540406327</v>
      </c>
      <c r="Q185" s="184">
        <f t="shared" si="139"/>
        <v>22.072159108008353</v>
      </c>
      <c r="R185" s="184">
        <f t="shared" si="139"/>
        <v>22.294132611012728</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10.388667682926098</v>
      </c>
      <c r="N186" s="184">
        <f t="shared" si="140"/>
        <v>10.394446869643092</v>
      </c>
      <c r="O186" s="184">
        <f t="shared" si="140"/>
        <v>10.606952977584495</v>
      </c>
      <c r="P186" s="184">
        <f t="shared" si="140"/>
        <v>10.765662853689935</v>
      </c>
      <c r="Q186" s="184">
        <f t="shared" si="140"/>
        <v>10.67586788602512</v>
      </c>
      <c r="R186" s="184">
        <f t="shared" si="14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1">F$108</f>
        <v>0</v>
      </c>
      <c r="G187" s="184" t="str">
        <f t="shared" si="141"/>
        <v>£m</v>
      </c>
      <c r="H187" s="184">
        <f t="shared" si="141"/>
        <v>184.35408171776049</v>
      </c>
      <c r="I187" s="184">
        <f t="shared" si="141"/>
        <v>0</v>
      </c>
      <c r="J187" s="184">
        <f t="shared" si="141"/>
        <v>0</v>
      </c>
      <c r="K187" s="184">
        <f t="shared" si="141"/>
        <v>0</v>
      </c>
      <c r="L187" s="184">
        <f t="shared" si="141"/>
        <v>0</v>
      </c>
      <c r="M187" s="184">
        <f t="shared" si="141"/>
        <v>31.867045690762549</v>
      </c>
      <c r="N187" s="184">
        <f t="shared" si="141"/>
        <v>31.884773238970539</v>
      </c>
      <c r="O187" s="184">
        <f t="shared" si="141"/>
        <v>32.536631788884939</v>
      </c>
      <c r="P187" s="184">
        <f t="shared" si="141"/>
        <v>33.023471394096262</v>
      </c>
      <c r="Q187" s="184">
        <f t="shared" si="141"/>
        <v>32.748026994033474</v>
      </c>
      <c r="R187" s="184">
        <f t="shared" si="141"/>
        <v>22.294132611012728</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113.22323460368305</v>
      </c>
      <c r="I189" s="184"/>
      <c r="J189" s="184">
        <f t="shared" ref="J189:R189" si="145" xml:space="preserve"> IF(J$188 = 0, 0, J182 / J$188)</f>
        <v>0</v>
      </c>
      <c r="K189" s="184">
        <f t="shared" si="145"/>
        <v>0</v>
      </c>
      <c r="L189" s="184">
        <f t="shared" si="145"/>
        <v>0</v>
      </c>
      <c r="M189" s="185">
        <f t="shared" si="145"/>
        <v>20.293593665616207</v>
      </c>
      <c r="N189" s="184">
        <f t="shared" si="145"/>
        <v>19.685942312203355</v>
      </c>
      <c r="O189" s="184">
        <f t="shared" si="145"/>
        <v>19.118605658238543</v>
      </c>
      <c r="P189" s="184">
        <f t="shared" si="145"/>
        <v>18.572941105180046</v>
      </c>
      <c r="Q189" s="184">
        <f t="shared" si="145"/>
        <v>18.042144203529848</v>
      </c>
      <c r="R189" s="184">
        <f t="shared" si="145"/>
        <v>17.510007658915061</v>
      </c>
      <c r="S189" s="92"/>
      <c r="T189" s="92"/>
      <c r="U189" s="92"/>
      <c r="V189" s="92"/>
      <c r="W189" s="92"/>
      <c r="X189" s="92"/>
      <c r="Y189" s="92"/>
      <c r="Z189" s="92"/>
    </row>
    <row r="190" spans="1:26" s="91" customFormat="1" x14ac:dyDescent="0.25">
      <c r="A190" s="170"/>
      <c r="B190" s="165"/>
      <c r="C190" s="166"/>
      <c r="D190" s="171"/>
      <c r="E190" s="7" t="str">
        <f t="shared" si="142"/>
        <v>True up Nominal return- real</v>
      </c>
      <c r="F190" s="184"/>
      <c r="G190" s="184" t="str">
        <f t="shared" si="143"/>
        <v>£m</v>
      </c>
      <c r="H190" s="244">
        <f t="shared" si="144"/>
        <v>46.294599491027554</v>
      </c>
      <c r="I190" s="184"/>
      <c r="J190" s="184">
        <f t="shared" ref="J190:R190" si="146" xml:space="preserve"> IF(J$188 = 0, 0, J183 / J$188)</f>
        <v>0</v>
      </c>
      <c r="K190" s="184">
        <f t="shared" si="146"/>
        <v>0</v>
      </c>
      <c r="L190" s="184">
        <f t="shared" si="146"/>
        <v>0</v>
      </c>
      <c r="M190" s="185">
        <f t="shared" si="146"/>
        <v>9.8156108718964408</v>
      </c>
      <c r="N190" s="184">
        <f xml:space="preserve"> IF(N$188 = 0, 0, N183 / N$188)</f>
        <v>9.5217019009590995</v>
      </c>
      <c r="O190" s="184">
        <f t="shared" si="146"/>
        <v>9.2472923547525259</v>
      </c>
      <c r="P190" s="184">
        <f t="shared" si="146"/>
        <v>8.9833651761727999</v>
      </c>
      <c r="Q190" s="184">
        <f t="shared" si="146"/>
        <v>8.7266291872466901</v>
      </c>
      <c r="R190" s="184">
        <f t="shared" si="146"/>
        <v>0</v>
      </c>
      <c r="S190" s="92"/>
      <c r="T190" s="92"/>
      <c r="U190" s="92"/>
      <c r="V190" s="92"/>
      <c r="W190" s="92"/>
      <c r="X190" s="92"/>
      <c r="Y190" s="92"/>
      <c r="Z190" s="92"/>
    </row>
    <row r="191" spans="1:26" s="91" customFormat="1" x14ac:dyDescent="0.25">
      <c r="A191" s="170"/>
      <c r="B191" s="165"/>
      <c r="C191" s="166"/>
      <c r="D191" s="171"/>
      <c r="E191" s="7" t="str">
        <f t="shared" si="142"/>
        <v>Total True up Nominal revenue to company- real</v>
      </c>
      <c r="F191" s="184"/>
      <c r="G191" s="184" t="str">
        <f t="shared" si="143"/>
        <v>£m</v>
      </c>
      <c r="H191" s="244">
        <f t="shared" si="144"/>
        <v>159.51783409471062</v>
      </c>
      <c r="I191" s="184"/>
      <c r="J191" s="184">
        <f t="shared" ref="J191:R191" si="147" xml:space="preserve"> IF(J$188 = 0, 0, J184 / J$188)</f>
        <v>0</v>
      </c>
      <c r="K191" s="184">
        <f t="shared" si="147"/>
        <v>0</v>
      </c>
      <c r="L191" s="184">
        <f t="shared" si="147"/>
        <v>0</v>
      </c>
      <c r="M191" s="185">
        <f t="shared" si="147"/>
        <v>30.10920453751265</v>
      </c>
      <c r="N191" s="184">
        <f t="shared" si="147"/>
        <v>29.207644213162457</v>
      </c>
      <c r="O191" s="184">
        <f t="shared" si="147"/>
        <v>28.365898012991071</v>
      </c>
      <c r="P191" s="184">
        <f t="shared" si="147"/>
        <v>27.556306281352846</v>
      </c>
      <c r="Q191" s="184">
        <f t="shared" si="147"/>
        <v>26.768773390776538</v>
      </c>
      <c r="R191" s="184">
        <f t="shared" si="147"/>
        <v>17.510007658915061</v>
      </c>
      <c r="S191" s="92"/>
      <c r="T191" s="92"/>
      <c r="U191" s="92"/>
      <c r="V191" s="92"/>
      <c r="W191" s="92"/>
      <c r="X191" s="92"/>
      <c r="Y191" s="92"/>
      <c r="Z191" s="92"/>
    </row>
    <row r="192" spans="1:26" s="91" customFormat="1" x14ac:dyDescent="0.25">
      <c r="A192" s="170"/>
      <c r="B192" s="165"/>
      <c r="C192" s="166"/>
      <c r="D192" s="171"/>
      <c r="E192" s="7" t="str">
        <f t="shared" si="142"/>
        <v>RCV run-off company should have received- real</v>
      </c>
      <c r="F192" s="184"/>
      <c r="G192" s="184" t="str">
        <f t="shared" si="143"/>
        <v>£m</v>
      </c>
      <c r="H192" s="244">
        <f t="shared" si="144"/>
        <v>117.69042118703733</v>
      </c>
      <c r="I192" s="184"/>
      <c r="J192" s="184">
        <f t="shared" ref="J192:R192" si="148" xml:space="preserve"> IF(J$188 = 0, 0, J185 / J$188)</f>
        <v>0</v>
      </c>
      <c r="K192" s="184">
        <f t="shared" si="148"/>
        <v>0</v>
      </c>
      <c r="L192" s="184">
        <f t="shared" si="148"/>
        <v>0</v>
      </c>
      <c r="M192" s="185">
        <f t="shared" si="148"/>
        <v>20.219699301140626</v>
      </c>
      <c r="N192" s="184">
        <f t="shared" si="148"/>
        <v>19.833223001779146</v>
      </c>
      <c r="O192" s="184">
        <f t="shared" si="148"/>
        <v>19.826824210847235</v>
      </c>
      <c r="P192" s="184">
        <f t="shared" si="148"/>
        <v>19.710118860422835</v>
      </c>
      <c r="Q192" s="184">
        <f t="shared" si="148"/>
        <v>19.143532359961196</v>
      </c>
      <c r="R192" s="184">
        <f t="shared" si="148"/>
        <v>18.95702345288629</v>
      </c>
      <c r="S192" s="92"/>
      <c r="T192" s="92"/>
      <c r="U192" s="92"/>
      <c r="V192" s="92"/>
      <c r="W192" s="92"/>
      <c r="X192" s="92"/>
      <c r="Y192" s="92"/>
      <c r="Z192" s="92"/>
    </row>
    <row r="193" spans="1:26" s="91" customFormat="1" x14ac:dyDescent="0.25">
      <c r="A193" s="170"/>
      <c r="B193" s="165"/>
      <c r="C193" s="166"/>
      <c r="D193" s="171"/>
      <c r="E193" s="7" t="str">
        <f t="shared" si="142"/>
        <v>Nominal return company should have received- real</v>
      </c>
      <c r="F193" s="184"/>
      <c r="G193" s="184" t="str">
        <f t="shared" si="143"/>
        <v>£m</v>
      </c>
      <c r="H193" s="244">
        <f t="shared" si="144"/>
        <v>47.755396515138663</v>
      </c>
      <c r="I193" s="184"/>
      <c r="J193" s="184">
        <f t="shared" ref="J193:R193" si="149" xml:space="preserve"> IF(J$188 = 0, 0, J186 / J$188)</f>
        <v>0</v>
      </c>
      <c r="K193" s="184">
        <f t="shared" si="149"/>
        <v>0</v>
      </c>
      <c r="L193" s="184">
        <f t="shared" si="149"/>
        <v>0</v>
      </c>
      <c r="M193" s="185">
        <f t="shared" si="149"/>
        <v>9.7798696257046771</v>
      </c>
      <c r="N193" s="184">
        <f t="shared" si="149"/>
        <v>9.5929386647201653</v>
      </c>
      <c r="O193" s="184">
        <f t="shared" si="149"/>
        <v>9.5898436957918829</v>
      </c>
      <c r="P193" s="184">
        <f t="shared" si="149"/>
        <v>9.533395620339622</v>
      </c>
      <c r="Q193" s="184">
        <f t="shared" si="149"/>
        <v>9.259348908582318</v>
      </c>
      <c r="R193" s="184">
        <f t="shared" si="149"/>
        <v>0</v>
      </c>
      <c r="S193" s="92"/>
      <c r="T193" s="92"/>
      <c r="U193" s="92"/>
      <c r="V193" s="92"/>
      <c r="W193" s="92"/>
      <c r="X193" s="92"/>
      <c r="Y193" s="92"/>
      <c r="Z193" s="92"/>
    </row>
    <row r="194" spans="1:26" s="91" customFormat="1" x14ac:dyDescent="0.25">
      <c r="A194" s="170"/>
      <c r="B194" s="165"/>
      <c r="C194" s="166"/>
      <c r="D194" s="171"/>
      <c r="E194" s="7" t="str">
        <f t="shared" si="142"/>
        <v>Total nominal revenue company should have received- real</v>
      </c>
      <c r="F194" s="184"/>
      <c r="G194" s="184" t="str">
        <f t="shared" si="143"/>
        <v>£m</v>
      </c>
      <c r="H194" s="244">
        <f t="shared" si="144"/>
        <v>165.44581770217599</v>
      </c>
      <c r="I194" s="184"/>
      <c r="J194" s="184">
        <f t="shared" ref="J194:R194" si="150" xml:space="preserve"> IF(J$188 = 0, 0, J187 / J$188)</f>
        <v>0</v>
      </c>
      <c r="K194" s="184">
        <f t="shared" si="150"/>
        <v>0</v>
      </c>
      <c r="L194" s="184">
        <f t="shared" si="150"/>
        <v>0</v>
      </c>
      <c r="M194" s="185">
        <f t="shared" si="150"/>
        <v>29.999568926845303</v>
      </c>
      <c r="N194" s="184">
        <f t="shared" si="150"/>
        <v>29.426161666499308</v>
      </c>
      <c r="O194" s="184">
        <f t="shared" si="150"/>
        <v>29.416667906639116</v>
      </c>
      <c r="P194" s="184">
        <f t="shared" si="150"/>
        <v>29.243514480762457</v>
      </c>
      <c r="Q194" s="184">
        <f t="shared" si="150"/>
        <v>28.402881268543513</v>
      </c>
      <c r="R194" s="184">
        <f t="shared" si="150"/>
        <v>18.95702345288629</v>
      </c>
      <c r="S194" s="92"/>
      <c r="T194" s="92"/>
      <c r="U194" s="92"/>
      <c r="V194" s="92"/>
      <c r="W194" s="92"/>
      <c r="X194" s="92"/>
      <c r="Y194" s="92"/>
      <c r="Z194" s="92"/>
    </row>
    <row r="196" spans="1:26" x14ac:dyDescent="0.25">
      <c r="E196" s="7" t="str">
        <f>E$189</f>
        <v>True up Nominal RCV run-off- real</v>
      </c>
      <c r="F196" s="184">
        <f t="shared" ref="F196:R196" si="151">F$189</f>
        <v>0</v>
      </c>
      <c r="G196" s="7" t="str">
        <f t="shared" si="151"/>
        <v>£m</v>
      </c>
      <c r="H196" s="247">
        <f t="shared" si="151"/>
        <v>113.22323460368305</v>
      </c>
      <c r="I196" s="247">
        <f t="shared" si="151"/>
        <v>0</v>
      </c>
      <c r="J196" s="184">
        <f t="shared" si="151"/>
        <v>0</v>
      </c>
      <c r="K196" s="184">
        <f t="shared" si="151"/>
        <v>0</v>
      </c>
      <c r="L196" s="184">
        <f t="shared" si="151"/>
        <v>0</v>
      </c>
      <c r="M196" s="185">
        <f t="shared" si="151"/>
        <v>20.293593665616207</v>
      </c>
      <c r="N196" s="184">
        <f t="shared" si="151"/>
        <v>19.685942312203355</v>
      </c>
      <c r="O196" s="184">
        <f t="shared" si="151"/>
        <v>19.118605658238543</v>
      </c>
      <c r="P196" s="184">
        <f t="shared" si="151"/>
        <v>18.572941105180046</v>
      </c>
      <c r="Q196" s="184">
        <f t="shared" si="151"/>
        <v>18.042144203529848</v>
      </c>
      <c r="R196" s="184">
        <f t="shared" si="151"/>
        <v>17.510007658915061</v>
      </c>
    </row>
    <row r="197" spans="1:26" x14ac:dyDescent="0.25">
      <c r="E197" s="7" t="str">
        <f>E$192</f>
        <v>RCV run-off company should have received- real</v>
      </c>
      <c r="F197" s="184">
        <f t="shared" ref="F197:R197" si="152">F$192</f>
        <v>0</v>
      </c>
      <c r="G197" s="7" t="str">
        <f t="shared" si="152"/>
        <v>£m</v>
      </c>
      <c r="H197" s="247">
        <f t="shared" si="152"/>
        <v>117.69042118703733</v>
      </c>
      <c r="I197" s="247">
        <f t="shared" si="152"/>
        <v>0</v>
      </c>
      <c r="J197" s="184">
        <f t="shared" si="152"/>
        <v>0</v>
      </c>
      <c r="K197" s="184">
        <f t="shared" si="152"/>
        <v>0</v>
      </c>
      <c r="L197" s="184">
        <f t="shared" si="152"/>
        <v>0</v>
      </c>
      <c r="M197" s="185">
        <f t="shared" si="152"/>
        <v>20.219699301140626</v>
      </c>
      <c r="N197" s="184">
        <f t="shared" si="152"/>
        <v>19.833223001779146</v>
      </c>
      <c r="O197" s="184">
        <f t="shared" si="152"/>
        <v>19.826824210847235</v>
      </c>
      <c r="P197" s="184">
        <f t="shared" si="152"/>
        <v>19.710118860422835</v>
      </c>
      <c r="Q197" s="184">
        <f t="shared" si="152"/>
        <v>19.143532359961196</v>
      </c>
      <c r="R197" s="184">
        <f t="shared" si="152"/>
        <v>18.95702345288629</v>
      </c>
    </row>
    <row r="198" spans="1:26" x14ac:dyDescent="0.25">
      <c r="C198" s="278"/>
      <c r="E198" s="7" t="s">
        <v>403</v>
      </c>
      <c r="G198" s="7" t="s">
        <v>235</v>
      </c>
      <c r="H198" s="185">
        <f xml:space="preserve"> SUM(J198:R198)</f>
        <v>4.4671865833542661</v>
      </c>
      <c r="I198" s="185"/>
      <c r="J198" s="184">
        <f t="shared" ref="J198:K198" si="153">J197-J196</f>
        <v>0</v>
      </c>
      <c r="K198" s="184">
        <f t="shared" si="153"/>
        <v>0</v>
      </c>
      <c r="L198" s="184">
        <f>L197-L196</f>
        <v>0</v>
      </c>
      <c r="M198" s="185">
        <f>M197-M196</f>
        <v>-7.3894364475581398E-2</v>
      </c>
      <c r="N198" s="184">
        <f t="shared" ref="N198:R198" si="154">N197-N196</f>
        <v>0.14728068957579055</v>
      </c>
      <c r="O198" s="184">
        <f t="shared" si="154"/>
        <v>0.70821855260869171</v>
      </c>
      <c r="P198" s="184">
        <f t="shared" si="154"/>
        <v>1.1371777552427886</v>
      </c>
      <c r="Q198" s="184">
        <f t="shared" si="154"/>
        <v>1.1013881564313479</v>
      </c>
      <c r="R198" s="184">
        <f t="shared" si="154"/>
        <v>1.4470157939712287</v>
      </c>
    </row>
    <row r="200" spans="1:26" x14ac:dyDescent="0.25">
      <c r="E200" s="7" t="str">
        <f>E$190</f>
        <v>True up Nominal return- real</v>
      </c>
      <c r="F200" s="184">
        <f t="shared" ref="F200:R200" si="155">F$190</f>
        <v>0</v>
      </c>
      <c r="G200" s="7" t="str">
        <f t="shared" si="155"/>
        <v>£m</v>
      </c>
      <c r="H200" s="247">
        <f t="shared" si="155"/>
        <v>46.294599491027554</v>
      </c>
      <c r="I200" s="247">
        <f t="shared" si="155"/>
        <v>0</v>
      </c>
      <c r="J200" s="184">
        <f t="shared" si="155"/>
        <v>0</v>
      </c>
      <c r="K200" s="184">
        <f t="shared" si="155"/>
        <v>0</v>
      </c>
      <c r="L200" s="184">
        <f t="shared" si="155"/>
        <v>0</v>
      </c>
      <c r="M200" s="185">
        <f t="shared" si="155"/>
        <v>9.8156108718964408</v>
      </c>
      <c r="N200" s="184">
        <f t="shared" si="155"/>
        <v>9.5217019009590995</v>
      </c>
      <c r="O200" s="184">
        <f t="shared" si="155"/>
        <v>9.2472923547525259</v>
      </c>
      <c r="P200" s="184">
        <f t="shared" si="155"/>
        <v>8.9833651761727999</v>
      </c>
      <c r="Q200" s="184">
        <f t="shared" si="155"/>
        <v>8.7266291872466901</v>
      </c>
      <c r="R200" s="184">
        <f t="shared" si="155"/>
        <v>0</v>
      </c>
    </row>
    <row r="201" spans="1:26" x14ac:dyDescent="0.25">
      <c r="E201" s="7" t="str">
        <f>E$193</f>
        <v>Nominal return company should have received- real</v>
      </c>
      <c r="F201" s="184">
        <f t="shared" ref="F201:R201" si="156">F$193</f>
        <v>0</v>
      </c>
      <c r="G201" s="7" t="str">
        <f t="shared" si="156"/>
        <v>£m</v>
      </c>
      <c r="H201" s="247">
        <f t="shared" si="156"/>
        <v>47.755396515138663</v>
      </c>
      <c r="I201" s="247">
        <f t="shared" si="156"/>
        <v>0</v>
      </c>
      <c r="J201" s="184">
        <f t="shared" si="156"/>
        <v>0</v>
      </c>
      <c r="K201" s="184">
        <f t="shared" si="156"/>
        <v>0</v>
      </c>
      <c r="L201" s="184">
        <f t="shared" si="156"/>
        <v>0</v>
      </c>
      <c r="M201" s="185">
        <f t="shared" si="156"/>
        <v>9.7798696257046771</v>
      </c>
      <c r="N201" s="184">
        <f t="shared" si="156"/>
        <v>9.5929386647201653</v>
      </c>
      <c r="O201" s="184">
        <f t="shared" si="156"/>
        <v>9.5898436957918829</v>
      </c>
      <c r="P201" s="184">
        <f t="shared" si="156"/>
        <v>9.533395620339622</v>
      </c>
      <c r="Q201" s="184">
        <f t="shared" si="156"/>
        <v>9.259348908582318</v>
      </c>
      <c r="R201" s="184">
        <f t="shared" si="156"/>
        <v>0</v>
      </c>
    </row>
    <row r="202" spans="1:26" x14ac:dyDescent="0.25">
      <c r="C202" s="278"/>
      <c r="E202" s="7" t="s">
        <v>404</v>
      </c>
      <c r="G202" s="7" t="s">
        <v>235</v>
      </c>
      <c r="H202" s="185">
        <f xml:space="preserve"> SUM(J202:R202)</f>
        <v>1.460797024111109</v>
      </c>
      <c r="I202" s="185"/>
      <c r="J202" s="184">
        <f t="shared" ref="J202:K202" si="157">J201-J200</f>
        <v>0</v>
      </c>
      <c r="K202" s="184">
        <f t="shared" si="157"/>
        <v>0</v>
      </c>
      <c r="L202" s="184">
        <f>L201-L200</f>
        <v>0</v>
      </c>
      <c r="M202" s="185">
        <f>M201-M200</f>
        <v>-3.5741246191763665E-2</v>
      </c>
      <c r="N202" s="184">
        <f t="shared" ref="N202:R202" si="158">N201-N200</f>
        <v>7.1236763761065802E-2</v>
      </c>
      <c r="O202" s="184">
        <f>O201-O200</f>
        <v>0.34255134103935703</v>
      </c>
      <c r="P202" s="184">
        <f t="shared" si="158"/>
        <v>0.55003044416682201</v>
      </c>
      <c r="Q202" s="184">
        <f t="shared" si="158"/>
        <v>0.53271972133562784</v>
      </c>
      <c r="R202" s="184">
        <f t="shared" si="158"/>
        <v>0</v>
      </c>
    </row>
    <row r="204" spans="1:26" x14ac:dyDescent="0.25">
      <c r="E204" s="7" t="str">
        <f>E$191</f>
        <v>Total True up Nominal revenue to company- real</v>
      </c>
      <c r="F204" s="184">
        <f t="shared" ref="F204:R204" si="159">F$191</f>
        <v>0</v>
      </c>
      <c r="G204" s="7" t="str">
        <f t="shared" si="159"/>
        <v>£m</v>
      </c>
      <c r="H204" s="247">
        <f t="shared" si="159"/>
        <v>159.51783409471062</v>
      </c>
      <c r="I204" s="247"/>
      <c r="J204" s="184">
        <f t="shared" si="159"/>
        <v>0</v>
      </c>
      <c r="K204" s="184">
        <f t="shared" si="159"/>
        <v>0</v>
      </c>
      <c r="L204" s="184">
        <f t="shared" si="159"/>
        <v>0</v>
      </c>
      <c r="M204" s="185">
        <f t="shared" si="159"/>
        <v>30.10920453751265</v>
      </c>
      <c r="N204" s="184">
        <f t="shared" si="159"/>
        <v>29.207644213162457</v>
      </c>
      <c r="O204" s="184">
        <f t="shared" si="159"/>
        <v>28.365898012991071</v>
      </c>
      <c r="P204" s="184">
        <f t="shared" si="159"/>
        <v>27.556306281352846</v>
      </c>
      <c r="Q204" s="184">
        <f t="shared" si="159"/>
        <v>26.768773390776538</v>
      </c>
      <c r="R204" s="184">
        <f t="shared" si="159"/>
        <v>17.510007658915061</v>
      </c>
    </row>
    <row r="205" spans="1:26" x14ac:dyDescent="0.25">
      <c r="E205" s="7" t="str">
        <f>E$194</f>
        <v>Total nominal revenue company should have received- real</v>
      </c>
      <c r="F205" s="184">
        <f t="shared" ref="F205:R205" si="160">F$194</f>
        <v>0</v>
      </c>
      <c r="G205" s="7" t="str">
        <f t="shared" si="160"/>
        <v>£m</v>
      </c>
      <c r="H205" s="247">
        <f t="shared" si="160"/>
        <v>165.44581770217599</v>
      </c>
      <c r="I205" s="247"/>
      <c r="J205" s="184">
        <f t="shared" si="160"/>
        <v>0</v>
      </c>
      <c r="K205" s="184">
        <f t="shared" si="160"/>
        <v>0</v>
      </c>
      <c r="L205" s="184">
        <f t="shared" si="160"/>
        <v>0</v>
      </c>
      <c r="M205" s="185">
        <f t="shared" si="160"/>
        <v>29.999568926845303</v>
      </c>
      <c r="N205" s="184">
        <f t="shared" si="160"/>
        <v>29.426161666499308</v>
      </c>
      <c r="O205" s="184">
        <f t="shared" si="160"/>
        <v>29.416667906639116</v>
      </c>
      <c r="P205" s="184">
        <f t="shared" si="160"/>
        <v>29.243514480762457</v>
      </c>
      <c r="Q205" s="184">
        <f t="shared" si="160"/>
        <v>28.402881268543513</v>
      </c>
      <c r="R205" s="184">
        <f t="shared" si="160"/>
        <v>18.95702345288629</v>
      </c>
    </row>
    <row r="206" spans="1:26" x14ac:dyDescent="0.25">
      <c r="C206" s="278"/>
      <c r="E206" s="7" t="s">
        <v>405</v>
      </c>
      <c r="G206" s="7" t="s">
        <v>235</v>
      </c>
      <c r="H206" s="185">
        <f xml:space="preserve"> SUM(J206:R206)</f>
        <v>5.9279836074653645</v>
      </c>
      <c r="I206" s="185"/>
      <c r="J206" s="184">
        <f t="shared" ref="J206:K206" si="161">J205-J204</f>
        <v>0</v>
      </c>
      <c r="K206" s="184">
        <f t="shared" si="161"/>
        <v>0</v>
      </c>
      <c r="L206" s="184">
        <f>L205-L204</f>
        <v>0</v>
      </c>
      <c r="M206" s="185">
        <f>M205-M204</f>
        <v>-0.10963561066734684</v>
      </c>
      <c r="N206" s="184">
        <f t="shared" ref="N206:R206" si="162">N205-N204</f>
        <v>0.21851745333685102</v>
      </c>
      <c r="O206" s="184">
        <f t="shared" si="162"/>
        <v>1.0507698936480452</v>
      </c>
      <c r="P206" s="184">
        <f t="shared" si="162"/>
        <v>1.6872081994096106</v>
      </c>
      <c r="Q206" s="184">
        <f t="shared" si="162"/>
        <v>1.6341078777669757</v>
      </c>
      <c r="R206" s="184">
        <f t="shared" si="162"/>
        <v>1.4470157939712287</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2.92E-2</v>
      </c>
      <c r="N210" s="205">
        <f>InpR!N$109</f>
        <v>2.92E-2</v>
      </c>
      <c r="O210" s="205">
        <f>InpR!O$109</f>
        <v>2.92E-2</v>
      </c>
      <c r="P210" s="205">
        <f>InpR!P$109</f>
        <v>2.92E-2</v>
      </c>
      <c r="Q210" s="205">
        <f>InpR!Q$109</f>
        <v>2.92E-2</v>
      </c>
      <c r="R210" s="205">
        <f>InpR!R$109</f>
        <v>2.92E-2</v>
      </c>
    </row>
    <row r="211" spans="1:18" x14ac:dyDescent="0.25">
      <c r="E211" s="7" t="s">
        <v>407</v>
      </c>
      <c r="G211" s="7" t="s">
        <v>408</v>
      </c>
      <c r="J211" s="255">
        <f xml:space="preserve"> (1 + J$210) ^ J$209</f>
        <v>1</v>
      </c>
      <c r="K211" s="255">
        <f t="shared" ref="K211:R211" si="163" xml:space="preserve"> (1 + K$210) ^ K$209</f>
        <v>1</v>
      </c>
      <c r="L211" s="255">
        <f t="shared" si="163"/>
        <v>1</v>
      </c>
      <c r="M211" s="255">
        <f t="shared" si="163"/>
        <v>1.122016155346969</v>
      </c>
      <c r="N211" s="255">
        <f t="shared" si="163"/>
        <v>1.0901828170879997</v>
      </c>
      <c r="O211" s="255">
        <f t="shared" si="163"/>
        <v>1.0592526399999997</v>
      </c>
      <c r="P211" s="255">
        <f t="shared" si="163"/>
        <v>1.0291999999999999</v>
      </c>
      <c r="Q211" s="255">
        <f t="shared" si="163"/>
        <v>1</v>
      </c>
      <c r="R211" s="255">
        <f t="shared" si="163"/>
        <v>1</v>
      </c>
    </row>
    <row r="213" spans="1:18" x14ac:dyDescent="0.25">
      <c r="B213" s="61" t="s">
        <v>409</v>
      </c>
    </row>
    <row r="214" spans="1:18" x14ac:dyDescent="0.25">
      <c r="E214" s="7" t="str">
        <f>E$198</f>
        <v>Value of True up run-off - real</v>
      </c>
      <c r="F214" s="184">
        <f t="shared" ref="F214:R214" si="164">F$198</f>
        <v>0</v>
      </c>
      <c r="G214" s="7" t="str">
        <f t="shared" si="164"/>
        <v>£m</v>
      </c>
      <c r="H214" s="247">
        <f t="shared" si="164"/>
        <v>4.4671865833542661</v>
      </c>
      <c r="I214" s="247">
        <f t="shared" si="164"/>
        <v>0</v>
      </c>
      <c r="J214" s="184">
        <f t="shared" si="164"/>
        <v>0</v>
      </c>
      <c r="K214" s="184">
        <f t="shared" si="164"/>
        <v>0</v>
      </c>
      <c r="L214" s="184">
        <f t="shared" si="164"/>
        <v>0</v>
      </c>
      <c r="M214" s="185">
        <f t="shared" si="164"/>
        <v>-7.3894364475581398E-2</v>
      </c>
      <c r="N214" s="184">
        <f t="shared" si="164"/>
        <v>0.14728068957579055</v>
      </c>
      <c r="O214" s="184">
        <f t="shared" si="164"/>
        <v>0.70821855260869171</v>
      </c>
      <c r="P214" s="184">
        <f t="shared" si="164"/>
        <v>1.1371777552427886</v>
      </c>
      <c r="Q214" s="184">
        <f t="shared" si="164"/>
        <v>1.1013881564313479</v>
      </c>
      <c r="R214" s="184">
        <f t="shared" si="164"/>
        <v>1.4470157939712287</v>
      </c>
    </row>
    <row r="215" spans="1:18" x14ac:dyDescent="0.25">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1.122016155346969</v>
      </c>
      <c r="N215" s="184">
        <f t="shared" si="165"/>
        <v>1.0901828170879997</v>
      </c>
      <c r="O215" s="184">
        <f t="shared" si="165"/>
        <v>1.0592526399999997</v>
      </c>
      <c r="P215" s="184">
        <f t="shared" si="165"/>
        <v>1.0291999999999999</v>
      </c>
      <c r="Q215" s="184">
        <f t="shared" si="165"/>
        <v>1</v>
      </c>
      <c r="R215" s="184">
        <f t="shared" si="165"/>
        <v>1</v>
      </c>
    </row>
    <row r="216" spans="1:18" s="34" customFormat="1" x14ac:dyDescent="0.25">
      <c r="A216" s="265"/>
      <c r="B216" s="266"/>
      <c r="C216" s="267"/>
      <c r="D216" s="268"/>
      <c r="E216" s="34" t="s">
        <v>414</v>
      </c>
      <c r="G216" s="34" t="s">
        <v>235</v>
      </c>
      <c r="H216" s="271">
        <f xml:space="preserve"> SUM(J216:R216)</f>
        <v>4.5466218739798894</v>
      </c>
      <c r="J216" s="271">
        <f xml:space="preserve"> J214 * J215</f>
        <v>0</v>
      </c>
      <c r="K216" s="271">
        <f t="shared" ref="K216:R216" si="166" xml:space="preserve"> K214 * K215</f>
        <v>0</v>
      </c>
      <c r="L216" s="271">
        <f t="shared" si="166"/>
        <v>0</v>
      </c>
      <c r="M216" s="277">
        <f t="shared" si="166"/>
        <v>-8.2910670730699479E-2</v>
      </c>
      <c r="N216" s="271">
        <f t="shared" si="166"/>
        <v>0.16056287706439853</v>
      </c>
      <c r="O216" s="271">
        <f t="shared" si="166"/>
        <v>0.75018237154773537</v>
      </c>
      <c r="P216" s="271">
        <f t="shared" si="166"/>
        <v>1.1703833456958779</v>
      </c>
      <c r="Q216" s="271">
        <f t="shared" si="166"/>
        <v>1.1013881564313479</v>
      </c>
      <c r="R216" s="271">
        <f t="shared" si="166"/>
        <v>1.4470157939712287</v>
      </c>
    </row>
    <row r="218" spans="1:18" x14ac:dyDescent="0.25">
      <c r="B218" s="61" t="s">
        <v>411</v>
      </c>
    </row>
    <row r="219" spans="1:18" x14ac:dyDescent="0.25">
      <c r="E219" s="7" t="str">
        <f>E202</f>
        <v>Value of True up return - real</v>
      </c>
      <c r="F219" s="184">
        <f t="shared" ref="F219:R219" si="167">F202</f>
        <v>0</v>
      </c>
      <c r="G219" s="7" t="str">
        <f t="shared" si="167"/>
        <v>£m</v>
      </c>
      <c r="H219" s="247">
        <f t="shared" si="167"/>
        <v>1.460797024111109</v>
      </c>
      <c r="I219" s="247">
        <f t="shared" si="167"/>
        <v>0</v>
      </c>
      <c r="J219" s="184">
        <f t="shared" si="167"/>
        <v>0</v>
      </c>
      <c r="K219" s="184">
        <f t="shared" si="167"/>
        <v>0</v>
      </c>
      <c r="L219" s="184">
        <f t="shared" si="167"/>
        <v>0</v>
      </c>
      <c r="M219" s="185">
        <f t="shared" si="167"/>
        <v>-3.5741246191763665E-2</v>
      </c>
      <c r="N219" s="184">
        <f t="shared" si="167"/>
        <v>7.1236763761065802E-2</v>
      </c>
      <c r="O219" s="184">
        <f t="shared" si="167"/>
        <v>0.34255134103935703</v>
      </c>
      <c r="P219" s="184">
        <f t="shared" si="167"/>
        <v>0.55003044416682201</v>
      </c>
      <c r="Q219" s="184">
        <f t="shared" si="167"/>
        <v>0.53271972133562784</v>
      </c>
      <c r="R219" s="184">
        <f t="shared" si="167"/>
        <v>0</v>
      </c>
    </row>
    <row r="220" spans="1:18" x14ac:dyDescent="0.25">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1.122016155346969</v>
      </c>
      <c r="N220" s="184">
        <f t="shared" si="168"/>
        <v>1.0901828170879997</v>
      </c>
      <c r="O220" s="184">
        <f t="shared" si="168"/>
        <v>1.0592526399999997</v>
      </c>
      <c r="P220" s="184">
        <f t="shared" si="168"/>
        <v>1.0291999999999999</v>
      </c>
      <c r="Q220" s="184">
        <f t="shared" si="168"/>
        <v>1</v>
      </c>
      <c r="R220" s="184">
        <f t="shared" si="168"/>
        <v>1</v>
      </c>
    </row>
    <row r="221" spans="1:18" s="34" customFormat="1" x14ac:dyDescent="0.25">
      <c r="A221" s="265"/>
      <c r="B221" s="266"/>
      <c r="C221" s="267"/>
      <c r="D221" s="268"/>
      <c r="E221" s="34" t="s">
        <v>415</v>
      </c>
      <c r="G221" s="34" t="s">
        <v>235</v>
      </c>
      <c r="H221" s="271">
        <f xml:space="preserve"> SUM(J221:R221)</f>
        <v>1.4992183069614791</v>
      </c>
      <c r="J221" s="271">
        <f xml:space="preserve"> J219 * J220</f>
        <v>0</v>
      </c>
      <c r="K221" s="271">
        <f t="shared" ref="K221" si="169" xml:space="preserve"> K219 * K220</f>
        <v>0</v>
      </c>
      <c r="L221" s="271">
        <f t="shared" ref="L221" si="170" xml:space="preserve"> L219 * L220</f>
        <v>0</v>
      </c>
      <c r="M221" s="277">
        <f t="shared" ref="M221" si="171" xml:space="preserve"> M219 * M220</f>
        <v>-4.0102255639392161E-2</v>
      </c>
      <c r="N221" s="271">
        <f xml:space="preserve"> N219 * N220</f>
        <v>7.766109579727104E-2</v>
      </c>
      <c r="O221" s="271">
        <f t="shared" ref="O221" si="172" xml:space="preserve"> O219 * O220</f>
        <v>0.36284841233147919</v>
      </c>
      <c r="P221" s="271">
        <f t="shared" ref="P221" si="173" xml:space="preserve"> P219 * P220</f>
        <v>0.56609133313649318</v>
      </c>
      <c r="Q221" s="271">
        <f t="shared" ref="Q221" si="174" xml:space="preserve"> Q219 * Q220</f>
        <v>0.53271972133562784</v>
      </c>
      <c r="R221" s="271">
        <f t="shared" ref="R221" si="175" xml:space="preserve"> R219 * R220</f>
        <v>0</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49" priority="8" stopIfTrue="1" operator="notEqual">
      <formula>0</formula>
    </cfRule>
    <cfRule type="cellIs" dxfId="48" priority="9" stopIfTrue="1" operator="equal">
      <formula>""</formula>
    </cfRule>
  </conditionalFormatting>
  <conditionalFormatting sqref="F165">
    <cfRule type="cellIs" dxfId="47" priority="2" stopIfTrue="1" operator="notEqual">
      <formula>0</formula>
    </cfRule>
    <cfRule type="cellIs" dxfId="46" priority="3" stopIfTrue="1" operator="equal">
      <formula>""</formula>
    </cfRule>
  </conditionalFormatting>
  <conditionalFormatting sqref="J3:Z3">
    <cfRule type="cellIs" dxfId="45" priority="14" operator="equal">
      <formula>"Post-Fcst"</formula>
    </cfRule>
    <cfRule type="cellIs" dxfId="44" priority="15" operator="equal">
      <formula>"Forecast"</formula>
    </cfRule>
    <cfRule type="cellIs" dxfId="43" priority="16" operator="equal">
      <formula>"Pre Fcst"</formula>
    </cfRule>
  </conditionalFormatting>
  <conditionalFormatting sqref="J165:XFD165">
    <cfRule type="cellIs" dxfId="42" priority="10" stopIfTrue="1" operator="notEqual">
      <formula>0</formula>
    </cfRule>
    <cfRule type="cellIs" dxfId="41" priority="11"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t="str">
        <f xml:space="preserve"> InpR!M$96</f>
        <v>//</v>
      </c>
      <c r="N26" s="205">
        <f xml:space="preserve"> InpR!N$96</f>
        <v>0</v>
      </c>
      <c r="O26" s="205">
        <f xml:space="preserve"> InpR!O$96</f>
        <v>0</v>
      </c>
      <c r="P26" s="205">
        <f xml:space="preserve"> InpR!P$96</f>
        <v>0</v>
      </c>
      <c r="Q26" s="205">
        <f xml:space="preserve"> InpR!Q$96</f>
        <v>0</v>
      </c>
      <c r="R26" s="205">
        <f xml:space="preserve"> InpR!R$96</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InpR!$E$89</f>
        <v>RCV - CPI(H) + RPI wedge initial balance - nominal - WWN</v>
      </c>
      <c r="F31" s="250" t="str">
        <f>InpR!$F$89</f>
        <v>//</v>
      </c>
      <c r="G31" s="250" t="str">
        <f>InpR!$G$89</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0</v>
      </c>
      <c r="N45" s="205">
        <f xml:space="preserve"> InpR!N$103</f>
        <v>0</v>
      </c>
      <c r="O45" s="205">
        <f xml:space="preserve"> InpR!O$103</f>
        <v>0</v>
      </c>
      <c r="P45" s="205">
        <f xml:space="preserve"> InpR!P$103</f>
        <v>0</v>
      </c>
      <c r="Q45" s="205">
        <f xml:space="preserve"> InpR!Q$103</f>
        <v>0</v>
      </c>
      <c r="R45" s="205">
        <f xml:space="preserve"> InpR!R$103</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3.5095772489963428E-2</v>
      </c>
      <c r="Q69" s="205">
        <f>Index!Q$135</f>
        <v>1.0811774265832685E-2</v>
      </c>
      <c r="R69" s="205">
        <f>Index!R$135</f>
        <v>3.0969307070667251E-2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5.6068271839316841E-2</v>
      </c>
      <c r="Q70" s="172">
        <f t="shared" si="26"/>
        <v>3.1820802412407367E-2</v>
      </c>
      <c r="R70" s="172">
        <f t="shared" si="26"/>
        <v>5.0963481504755381E-2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5.6068271839316841E-2</v>
      </c>
      <c r="Q74" s="172">
        <f t="shared" si="28"/>
        <v>3.1820802412407367E-2</v>
      </c>
      <c r="R74" s="172">
        <f t="shared" si="28"/>
        <v>5.0963481504755381E-2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t="str">
        <f xml:space="preserve"> InpR!M$96</f>
        <v>//</v>
      </c>
      <c r="N77" s="205">
        <f xml:space="preserve"> InpR!N$96</f>
        <v>0</v>
      </c>
      <c r="O77" s="205">
        <f xml:space="preserve"> InpR!O$96</f>
        <v>0</v>
      </c>
      <c r="P77" s="205">
        <f xml:space="preserve"> InpR!P$96</f>
        <v>0</v>
      </c>
      <c r="Q77" s="205">
        <f xml:space="preserve"> InpR!Q$96</f>
        <v>0</v>
      </c>
      <c r="R77" s="205">
        <f xml:space="preserve"> InpR!R$96</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InpR!$E$89</f>
        <v>RCV - CPI(H) + RPI wedge initial balance - nominal - WWN</v>
      </c>
      <c r="F82" s="250" t="str">
        <f>InpR!$F$89</f>
        <v>//</v>
      </c>
      <c r="G82" s="250" t="str">
        <f>InpR!$G$89</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0</v>
      </c>
      <c r="N96" s="205">
        <f xml:space="preserve"> InpR!N$103</f>
        <v>0</v>
      </c>
      <c r="O96" s="205">
        <f xml:space="preserve"> InpR!O$103</f>
        <v>0</v>
      </c>
      <c r="P96" s="205">
        <f xml:space="preserve"> InpR!P$103</f>
        <v>0</v>
      </c>
      <c r="Q96" s="205">
        <f xml:space="preserve"> InpR!Q$103</f>
        <v>0</v>
      </c>
      <c r="R96" s="205">
        <f xml:space="preserve"> InpR!R$103</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t="str">
        <f xml:space="preserve"> InpR!M$96</f>
        <v>//</v>
      </c>
      <c r="N132" s="205">
        <f xml:space="preserve"> InpR!N$96</f>
        <v>0</v>
      </c>
      <c r="O132" s="205">
        <f xml:space="preserve"> InpR!O$96</f>
        <v>0</v>
      </c>
      <c r="P132" s="205">
        <f xml:space="preserve"> InpR!P$96</f>
        <v>0</v>
      </c>
      <c r="Q132" s="205">
        <f xml:space="preserve"> InpR!Q$96</f>
        <v>0</v>
      </c>
      <c r="R132" s="205">
        <f xml:space="preserve"> InpR!R$96</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InpR!$E$89</f>
        <v>RCV - CPI(H) + RPI wedge initial balance - nominal - WWN</v>
      </c>
      <c r="F137" s="250" t="str">
        <f>InpR!$F$89</f>
        <v>//</v>
      </c>
      <c r="G137" s="250" t="str">
        <f>InpR!$G$89</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0</v>
      </c>
      <c r="N150" s="205">
        <f xml:space="preserve"> InpR!N$103</f>
        <v>0</v>
      </c>
      <c r="O150" s="205">
        <f xml:space="preserve"> InpR!O$103</f>
        <v>0</v>
      </c>
      <c r="P150" s="205">
        <f xml:space="preserve"> InpR!P$103</f>
        <v>0</v>
      </c>
      <c r="Q150" s="205">
        <f xml:space="preserve"> InpR!Q$103</f>
        <v>0</v>
      </c>
      <c r="R150" s="205">
        <f xml:space="preserve"> InpR!R$103</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416</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0</v>
      </c>
      <c r="N210" s="205">
        <f>InpR!N$110</f>
        <v>0</v>
      </c>
      <c r="O210" s="205">
        <f>InpR!O$110</f>
        <v>0</v>
      </c>
      <c r="P210" s="205">
        <f>InpR!P$110</f>
        <v>0</v>
      </c>
      <c r="Q210" s="205">
        <f>InpR!Q$110</f>
        <v>0</v>
      </c>
      <c r="R210" s="205">
        <f>InpR!R$110</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417</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418</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40" priority="4" stopIfTrue="1" operator="notEqual">
      <formula>0</formula>
    </cfRule>
    <cfRule type="cellIs" dxfId="39" priority="5" stopIfTrue="1" operator="equal">
      <formula>""</formula>
    </cfRule>
  </conditionalFormatting>
  <conditionalFormatting sqref="F165">
    <cfRule type="cellIs" dxfId="38" priority="2" stopIfTrue="1" operator="notEqual">
      <formula>0</formula>
    </cfRule>
    <cfRule type="cellIs" dxfId="37" priority="3" stopIfTrue="1" operator="equal">
      <formula>""</formula>
    </cfRule>
  </conditionalFormatting>
  <conditionalFormatting sqref="J3:Z3">
    <cfRule type="cellIs" dxfId="36" priority="8" operator="equal">
      <formula>"Post-Fcst"</formula>
    </cfRule>
    <cfRule type="cellIs" dxfId="35" priority="9" operator="equal">
      <formula>"Forecast"</formula>
    </cfRule>
    <cfRule type="cellIs" dxfId="34" priority="10" operator="equal">
      <formula>"Pre Fcst"</formula>
    </cfRule>
  </conditionalFormatting>
  <conditionalFormatting sqref="J165:XFD165">
    <cfRule type="cellIs" dxfId="33" priority="6" stopIfTrue="1" operator="notEqual">
      <formula>0</formula>
    </cfRule>
    <cfRule type="cellIs" dxfId="32"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f51f1067-fcb8-4131-b194-4dd929cf9204">
      <UserInfo>
        <DisplayName/>
        <AccountId xsi:nil="true"/>
        <AccountType/>
      </UserInfo>
    </SharedWithUsers>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2.xml><?xml version="1.0" encoding="utf-8"?>
<ds:datastoreItem xmlns:ds="http://schemas.openxmlformats.org/officeDocument/2006/customXml" ds:itemID="{49162F29-EC32-4055-8E03-1D5C62F94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15F2D5-2104-455F-98C7-B26412ABD4EE}">
  <ds:schemaRef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www.w3.org/XML/1998/namespace"/>
    <ds:schemaRef ds:uri="f51f1067-fcb8-4131-b194-4dd929cf9204"/>
    <ds:schemaRef ds:uri="963ed5a7-332a-41b3-b49c-f61625053ee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2023-09-24T16:27:23Z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Order">
    <vt:r8>9300</vt:r8>
  </property>
  <property fmtid="{D5CDD505-2E9C-101B-9397-08002B2CF9AE}" pid="19" name="xd_Signature">
    <vt:bool>false</vt:bool>
  </property>
  <property fmtid="{D5CDD505-2E9C-101B-9397-08002B2CF9AE}" pid="20" name="xd_ProgID">
    <vt:lpwstr/>
  </property>
  <property fmtid="{D5CDD505-2E9C-101B-9397-08002B2CF9AE}" pid="21" name="ComplianceAssetId">
    <vt:lpwstr/>
  </property>
  <property fmtid="{D5CDD505-2E9C-101B-9397-08002B2CF9AE}" pid="22" name="TemplateUrl">
    <vt:lpwstr/>
  </property>
  <property fmtid="{D5CDD505-2E9C-101B-9397-08002B2CF9AE}" pid="23" name="_ExtendedDescription">
    <vt:lpwstr/>
  </property>
  <property fmtid="{D5CDD505-2E9C-101B-9397-08002B2CF9AE}" pid="24" name="TriggerFlowInfo">
    <vt:lpwstr/>
  </property>
  <property fmtid="{D5CDD505-2E9C-101B-9397-08002B2CF9AE}" pid="25" name="MediaServiceImageTags">
    <vt:lpwstr/>
  </property>
</Properties>
</file>